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FAIRLEY\BUILDING AND ZONING DEPT   BZA and PLANNING\BUILDING DEPT. PERMITS   FEES   Zoning Map 2008\BUILDING FEES\"/>
    </mc:Choice>
  </mc:AlternateContent>
  <xr:revisionPtr revIDLastSave="0" documentId="8_{779F58A9-2074-4B41-B8CF-EFE0AF6C3422}" xr6:coauthVersionLast="47" xr6:coauthVersionMax="47" xr10:uidLastSave="{00000000-0000-0000-0000-000000000000}"/>
  <bookViews>
    <workbookView xWindow="0" yWindow="360" windowWidth="29040" windowHeight="15840" activeTab="1" xr2:uid="{00000000-000D-0000-FFFF-FFFF00000000}"/>
  </bookViews>
  <sheets>
    <sheet name="UPPER" sheetId="2" r:id="rId1"/>
    <sheet name="ALL" sheetId="6" r:id="rId2"/>
    <sheet name="CONSTRUCTION FACTOR" sheetId="7" r:id="rId3"/>
    <sheet name="ADMIN_FEES" sheetId="8" r:id="rId4"/>
    <sheet name="PENALTY" sheetId="9" r:id="rId5"/>
  </sheets>
  <definedNames>
    <definedName name="ChangePct" comment="This is a multiplier - for a 1% fee increase, the value should be 1.01">ALL!$A$1</definedName>
    <definedName name="_xlnm.Print_Area" localSheetId="3">ADMIN_FEES!$A$2:$B$41</definedName>
    <definedName name="_xlnm.Print_Area" localSheetId="1">ALL!$A$2:$J$92</definedName>
    <definedName name="_xlnm.Print_Area" localSheetId="2">'CONSTRUCTION FACTOR'!$A$1:$K$26</definedName>
    <definedName name="_xlnm.Print_Area" localSheetId="4">PENALTY!$A$2:$B$14</definedName>
    <definedName name="_xlnm.Print_Area" localSheetId="0">UPPER!$A$2:$L$13</definedName>
  </definedNames>
  <calcPr calcId="191028" concurrentCalc="0"/>
</workbook>
</file>

<file path=xl/calcChain.xml><?xml version="1.0" encoding="utf-8"?>
<calcChain xmlns="http://schemas.openxmlformats.org/spreadsheetml/2006/main">
  <c r="I21" i="6" l="1"/>
  <c r="I20" i="6"/>
  <c r="I19" i="6"/>
  <c r="I18" i="6"/>
  <c r="I14" i="6"/>
  <c r="I11" i="6"/>
  <c r="I9" i="6"/>
  <c r="I8" i="6"/>
  <c r="I7" i="6"/>
  <c r="K12" i="8"/>
  <c r="K10" i="9"/>
  <c r="K9" i="9"/>
  <c r="K7" i="9"/>
  <c r="L7" i="9"/>
  <c r="B7" i="9"/>
  <c r="K6" i="9"/>
  <c r="L6" i="9"/>
  <c r="K4" i="9"/>
  <c r="B4" i="9"/>
  <c r="K41" i="8"/>
  <c r="L41" i="8"/>
  <c r="K40" i="8"/>
  <c r="K38" i="8"/>
  <c r="L38" i="8"/>
  <c r="K37" i="8"/>
  <c r="K30" i="8"/>
  <c r="L30" i="8"/>
  <c r="K29" i="8"/>
  <c r="L29" i="8"/>
  <c r="K27" i="8"/>
  <c r="B27" i="8"/>
  <c r="K26" i="8"/>
  <c r="B26" i="8"/>
  <c r="K21" i="8"/>
  <c r="B21" i="8"/>
  <c r="K20" i="8"/>
  <c r="B20" i="8"/>
  <c r="K18" i="8"/>
  <c r="B18" i="8"/>
  <c r="K17" i="8"/>
  <c r="B17" i="8"/>
  <c r="L15" i="8"/>
  <c r="L14" i="8"/>
  <c r="L12" i="8"/>
  <c r="K15" i="8"/>
  <c r="K14" i="8"/>
  <c r="B14" i="8"/>
  <c r="L11" i="8"/>
  <c r="K11" i="8"/>
  <c r="B11" i="8"/>
  <c r="K35" i="8"/>
  <c r="B35" i="8"/>
  <c r="K34" i="8"/>
  <c r="L34" i="8"/>
  <c r="K31" i="8"/>
  <c r="K32" i="8"/>
  <c r="L32" i="8"/>
  <c r="G61" i="6"/>
  <c r="G58" i="6"/>
  <c r="G57" i="6"/>
  <c r="G49" i="6"/>
  <c r="G48" i="6"/>
  <c r="G45" i="6"/>
  <c r="G39" i="6"/>
  <c r="G38" i="6"/>
  <c r="G37" i="6"/>
  <c r="G36" i="6"/>
  <c r="G34" i="6"/>
  <c r="G32" i="6"/>
  <c r="G31" i="6"/>
  <c r="G29" i="6"/>
  <c r="G28" i="6"/>
  <c r="G27" i="6"/>
  <c r="D6" i="6"/>
  <c r="G53" i="6"/>
  <c r="G52" i="6"/>
  <c r="C54" i="6"/>
  <c r="C53" i="6"/>
  <c r="C52" i="6"/>
  <c r="P7" i="2"/>
  <c r="P4" i="2"/>
  <c r="D4" i="2"/>
  <c r="P10" i="2"/>
  <c r="P13" i="2"/>
  <c r="G44" i="6"/>
  <c r="E44" i="6"/>
  <c r="K8" i="8"/>
  <c r="L8" i="8"/>
  <c r="K7" i="8"/>
  <c r="K5" i="8"/>
  <c r="L5" i="8"/>
  <c r="B5" i="8"/>
  <c r="K4" i="8"/>
  <c r="L4" i="8"/>
  <c r="G22" i="6"/>
  <c r="G20" i="6"/>
  <c r="G19" i="6"/>
  <c r="G13" i="6"/>
  <c r="G11" i="6"/>
  <c r="G9" i="6"/>
  <c r="G8" i="6"/>
  <c r="G6" i="6"/>
  <c r="G7" i="6"/>
  <c r="I6" i="6"/>
  <c r="E92" i="6"/>
  <c r="E91" i="6"/>
  <c r="G92" i="6"/>
  <c r="G91" i="6"/>
  <c r="G90" i="6"/>
  <c r="E90" i="6"/>
  <c r="G89" i="6"/>
  <c r="G88" i="6"/>
  <c r="G87" i="6"/>
  <c r="C89" i="6"/>
  <c r="C88" i="6"/>
  <c r="C87" i="6"/>
  <c r="G82" i="6"/>
  <c r="G81" i="6"/>
  <c r="G79" i="6"/>
  <c r="G78" i="6"/>
  <c r="E82" i="6"/>
  <c r="E81" i="6"/>
  <c r="E79" i="6"/>
  <c r="E78" i="6"/>
  <c r="G75" i="6"/>
  <c r="C75" i="6"/>
  <c r="G73" i="6"/>
  <c r="E73" i="6"/>
  <c r="G72" i="6"/>
  <c r="G71" i="6"/>
  <c r="C72" i="6"/>
  <c r="C71" i="6"/>
  <c r="G70" i="6"/>
  <c r="C70" i="6"/>
  <c r="G69" i="6"/>
  <c r="E69" i="6"/>
  <c r="G68" i="6"/>
  <c r="E68" i="6"/>
  <c r="G63" i="6"/>
  <c r="C63" i="6"/>
  <c r="G62" i="6"/>
  <c r="C62" i="6"/>
  <c r="G56" i="6"/>
  <c r="C56" i="6"/>
  <c r="G51" i="6"/>
  <c r="C51" i="6"/>
  <c r="G47" i="6"/>
  <c r="C47" i="6"/>
  <c r="G46" i="6"/>
  <c r="C46" i="6"/>
  <c r="G43" i="6"/>
  <c r="C43" i="6"/>
  <c r="G42" i="6"/>
  <c r="C42" i="6"/>
  <c r="G41" i="6"/>
  <c r="C41" i="6"/>
  <c r="G33" i="6"/>
  <c r="C33" i="6"/>
  <c r="G23" i="6"/>
  <c r="C23" i="6"/>
  <c r="G21" i="6"/>
  <c r="C21" i="6"/>
  <c r="G18" i="6"/>
  <c r="C18" i="6"/>
  <c r="G16" i="6"/>
  <c r="C16" i="6"/>
  <c r="G15" i="6"/>
  <c r="C15" i="6"/>
  <c r="G14" i="6"/>
  <c r="C14" i="6"/>
  <c r="G12" i="6"/>
  <c r="C12" i="6"/>
  <c r="E6" i="6"/>
  <c r="H6" i="6"/>
  <c r="D7" i="6"/>
  <c r="E7" i="6"/>
  <c r="H7" i="6"/>
  <c r="C8" i="6"/>
  <c r="D8" i="6"/>
  <c r="H8" i="6"/>
  <c r="C9" i="6"/>
  <c r="D9" i="6"/>
  <c r="E9" i="6"/>
  <c r="H9" i="6"/>
  <c r="C11" i="6"/>
  <c r="H11" i="6"/>
  <c r="C13" i="6"/>
  <c r="H14" i="6"/>
  <c r="H18" i="6"/>
  <c r="C19" i="6"/>
  <c r="H19" i="6"/>
  <c r="C20" i="6"/>
  <c r="D20" i="6"/>
  <c r="E20" i="6"/>
  <c r="C22" i="6"/>
  <c r="E22" i="6"/>
  <c r="C82" i="6"/>
  <c r="C81" i="6"/>
  <c r="C79" i="6"/>
  <c r="C78" i="6"/>
  <c r="C68" i="6"/>
  <c r="C69" i="6"/>
  <c r="C49" i="6"/>
  <c r="I42" i="6"/>
  <c r="B41" i="8"/>
  <c r="L40" i="8"/>
  <c r="B40" i="8"/>
  <c r="B38" i="8"/>
  <c r="L37" i="8"/>
  <c r="B37" i="8"/>
  <c r="L35" i="8"/>
  <c r="B34" i="8"/>
  <c r="B31" i="8"/>
  <c r="B30" i="8"/>
  <c r="B29" i="8"/>
  <c r="B15" i="8"/>
  <c r="B12" i="8"/>
  <c r="B8" i="8"/>
  <c r="L7" i="8"/>
  <c r="B7" i="8"/>
  <c r="L10" i="9"/>
  <c r="B10" i="9"/>
  <c r="L9" i="9"/>
  <c r="B9" i="9"/>
  <c r="B6" i="9"/>
  <c r="D92" i="6"/>
  <c r="D46" i="6"/>
  <c r="D44" i="6"/>
  <c r="D42" i="6"/>
  <c r="D41" i="6"/>
  <c r="D33" i="6"/>
  <c r="D53" i="6"/>
  <c r="D52" i="6"/>
  <c r="D23" i="6"/>
  <c r="D12" i="6"/>
  <c r="M32" i="8"/>
  <c r="B32" i="8"/>
  <c r="B4" i="8"/>
  <c r="D68" i="6"/>
  <c r="D78" i="6"/>
  <c r="D81" i="6"/>
  <c r="D51" i="6"/>
  <c r="D11" i="6"/>
  <c r="D56" i="6"/>
  <c r="D91" i="6"/>
  <c r="D18" i="6"/>
  <c r="D14" i="6"/>
  <c r="D70" i="6"/>
  <c r="D15" i="6"/>
  <c r="D19" i="6"/>
  <c r="D43" i="6"/>
  <c r="D73" i="6"/>
  <c r="D87" i="6"/>
  <c r="D69" i="6"/>
  <c r="D89" i="6"/>
  <c r="D47" i="6"/>
  <c r="D62" i="6"/>
  <c r="D13" i="6"/>
  <c r="D16" i="6"/>
  <c r="D21" i="6"/>
  <c r="D90" i="6"/>
  <c r="D88" i="6"/>
  <c r="D82" i="6"/>
  <c r="D79" i="6"/>
  <c r="D75" i="6"/>
  <c r="D72" i="6"/>
  <c r="D71" i="6"/>
  <c r="D63" i="6"/>
  <c r="E48" i="6"/>
  <c r="I92" i="6"/>
  <c r="I91" i="6"/>
  <c r="I90" i="6"/>
  <c r="I87" i="6"/>
  <c r="F91" i="6"/>
  <c r="F92" i="6"/>
  <c r="F90" i="6"/>
  <c r="C92" i="6"/>
  <c r="I82" i="6"/>
  <c r="I81" i="6"/>
  <c r="I79" i="6"/>
  <c r="I78" i="6"/>
  <c r="I75" i="6"/>
  <c r="I73" i="6"/>
  <c r="I72" i="6"/>
  <c r="I71" i="6"/>
  <c r="I70" i="6"/>
  <c r="I69" i="6"/>
  <c r="I68" i="6"/>
  <c r="C73" i="6"/>
  <c r="I62" i="6"/>
  <c r="I63" i="6"/>
  <c r="I56" i="6"/>
  <c r="I51" i="6"/>
  <c r="I49" i="6"/>
  <c r="I47" i="6"/>
  <c r="I45" i="6"/>
  <c r="I43" i="6"/>
  <c r="I41" i="6"/>
  <c r="I39" i="6"/>
  <c r="I38" i="6"/>
  <c r="I37" i="6"/>
  <c r="I36" i="6"/>
  <c r="I34" i="6"/>
  <c r="I33" i="6"/>
  <c r="I32" i="6"/>
  <c r="I31" i="6"/>
  <c r="I29" i="6"/>
  <c r="I28" i="6"/>
  <c r="I27" i="6"/>
  <c r="H47" i="6"/>
  <c r="H45" i="6"/>
  <c r="H43" i="6"/>
  <c r="H42" i="6"/>
  <c r="H39" i="6"/>
  <c r="H38" i="6"/>
  <c r="H34" i="6"/>
  <c r="H32" i="6"/>
  <c r="H31" i="6"/>
  <c r="H29" i="6"/>
  <c r="H28" i="6"/>
  <c r="H27" i="6"/>
  <c r="E61" i="6"/>
  <c r="E58" i="6"/>
  <c r="E57" i="6"/>
  <c r="E49" i="6"/>
  <c r="E39" i="6"/>
  <c r="D39" i="6"/>
  <c r="E38" i="6"/>
  <c r="E37" i="6"/>
  <c r="E34" i="6"/>
  <c r="E32" i="6"/>
  <c r="E31" i="6"/>
  <c r="E28" i="6"/>
  <c r="E27" i="6"/>
  <c r="D58" i="6"/>
  <c r="D57" i="6"/>
  <c r="D49" i="6"/>
  <c r="D45" i="6"/>
  <c r="D38" i="6"/>
  <c r="D37" i="6"/>
  <c r="D34" i="6"/>
  <c r="D32" i="6"/>
  <c r="D31" i="6"/>
  <c r="D28" i="6"/>
  <c r="D27" i="6"/>
  <c r="C61" i="6"/>
  <c r="C59" i="6"/>
  <c r="C58" i="6"/>
  <c r="C57" i="6"/>
  <c r="C48" i="6"/>
  <c r="C36" i="6"/>
  <c r="D36" i="6"/>
  <c r="C34" i="6"/>
  <c r="C32" i="6"/>
  <c r="C29" i="6"/>
  <c r="D29" i="6"/>
  <c r="D13" i="2"/>
  <c r="D10" i="2"/>
  <c r="D7" i="2"/>
  <c r="B23" i="8"/>
  <c r="B6" i="8"/>
</calcChain>
</file>

<file path=xl/sharedStrings.xml><?xml version="1.0" encoding="utf-8"?>
<sst xmlns="http://schemas.openxmlformats.org/spreadsheetml/2006/main" count="600" uniqueCount="202">
  <si>
    <r>
      <t xml:space="preserve">FORMULA A: </t>
    </r>
    <r>
      <rPr>
        <sz val="9"/>
        <color rgb="FF000000"/>
        <rFont val="Arial"/>
        <family val="2"/>
      </rPr>
      <t>Building Permit &amp; HVAC application combined</t>
    </r>
  </si>
  <si>
    <t>Permit Fee =</t>
  </si>
  <si>
    <t xml:space="preserve">Building
Gross Area </t>
  </si>
  <si>
    <t xml:space="preserve">X </t>
  </si>
  <si>
    <t xml:space="preserve">Type of
Construction </t>
  </si>
  <si>
    <t>X</t>
  </si>
  <si>
    <t xml:space="preserve">Permit Fee
Multiplier </t>
  </si>
  <si>
    <t>1.25 =</t>
  </si>
  <si>
    <r>
      <t xml:space="preserve">FORMULA B: </t>
    </r>
    <r>
      <rPr>
        <sz val="9"/>
        <color rgb="FF000000"/>
        <rFont val="Arial"/>
        <family val="2"/>
      </rPr>
      <t>Building Permit Only (no HVAC)</t>
    </r>
  </si>
  <si>
    <t>=</t>
  </si>
  <si>
    <r>
      <t xml:space="preserve">FORMULA C: </t>
    </r>
    <r>
      <rPr>
        <sz val="9"/>
        <color rgb="FF000000"/>
        <rFont val="Arial"/>
        <family val="2"/>
      </rPr>
      <t>HVAC Permit Only (no building)</t>
    </r>
  </si>
  <si>
    <t>.25 =</t>
  </si>
  <si>
    <r>
      <t xml:space="preserve">FORMULA D: </t>
    </r>
    <r>
      <rPr>
        <sz val="9"/>
        <color rgb="FF000000"/>
        <rFont val="Arial"/>
        <family val="2"/>
      </rPr>
      <t>One &amp; Two &amp; Three Family Residential Building permit &amp; HVAC application combined</t>
    </r>
  </si>
  <si>
    <t>(Building Gross Area includes occupied garage, basement, finished 
or unfinished)</t>
  </si>
  <si>
    <t>UNIT</t>
  </si>
  <si>
    <t>UPFRONT</t>
  </si>
  <si>
    <t>LEAVE BLANK</t>
  </si>
  <si>
    <t>MIN</t>
  </si>
  <si>
    <t>MULT</t>
  </si>
  <si>
    <t>CO-CC</t>
  </si>
  <si>
    <t>TCO</t>
  </si>
  <si>
    <t>PERMIT USE/TYPE</t>
  </si>
  <si>
    <t>UNIT
PRICE
EACH</t>
  </si>
  <si>
    <t>UP
FRONT</t>
  </si>
  <si>
    <t>MINIMUM
BUILDING
FEE</t>
  </si>
  <si>
    <t xml:space="preserve">PERMIT FEE
MULTIPLIER </t>
  </si>
  <si>
    <t>CO/CC</t>
  </si>
  <si>
    <r>
      <t>*TCO
1</t>
    </r>
    <r>
      <rPr>
        <b/>
        <sz val="6"/>
        <color rgb="FF000000"/>
        <rFont val="Arial Narrow"/>
        <family val="2"/>
      </rPr>
      <t xml:space="preserve">st </t>
    </r>
    <r>
      <rPr>
        <b/>
        <sz val="9"/>
        <color rgb="FF000000"/>
        <rFont val="Arial Narrow"/>
        <family val="2"/>
      </rPr>
      <t xml:space="preserve">30
Days </t>
    </r>
  </si>
  <si>
    <t>REVISION</t>
  </si>
  <si>
    <t>BUILDINGS &amp; STRUCTURES REGULATED BY THE HCBC – 1-2-3 DWELLING UNITS</t>
  </si>
  <si>
    <t>BUILDINGS &amp; STRUCTURES REGULATED BY THE HCBC &amp; RCO (ADD OBBS ASSESSMENT FEE – 1%)</t>
  </si>
  <si>
    <t xml:space="preserve">New Dwellings (Formula D) </t>
  </si>
  <si>
    <t xml:space="preserve">-- </t>
  </si>
  <si>
    <t>/</t>
  </si>
  <si>
    <t>Additions (Formula D) (Includes
ductwork only) (To add or replace
HVAC units, add fee from line 6)</t>
  </si>
  <si>
    <t>Industrialized Dwellings (Includes all
HVAC)</t>
  </si>
  <si>
    <t xml:space="preserve">Alterations &amp; Fire Repair </t>
  </si>
  <si>
    <t>(To add or replace HVAC units, add fees from line 6) (Total loss by fire or natural disaster reviewed as New Dwelling)</t>
  </si>
  <si>
    <t>each floor</t>
  </si>
  <si>
    <t xml:space="preserve">Accessory Structures (over 200 sf) </t>
  </si>
  <si>
    <t>Mechanical Additions &amp; Replacements
A. Heating or air conditioning</t>
  </si>
  <si>
    <t>--</t>
  </si>
  <si>
    <t>B. Combined (includes ductwork)</t>
  </si>
  <si>
    <t>Decks &amp; Ramps without Roofs
(Attached or Detached)</t>
  </si>
  <si>
    <t xml:space="preserve">Partial Permits (when granted) </t>
  </si>
  <si>
    <t xml:space="preserve">Moving </t>
  </si>
  <si>
    <t>Pools</t>
  </si>
  <si>
    <t xml:space="preserve">
A. Above Ground</t>
  </si>
  <si>
    <t>B. In-Ground</t>
  </si>
  <si>
    <t xml:space="preserve">Retaining Walls (up to 300 ft.) </t>
  </si>
  <si>
    <t xml:space="preserve">Towers </t>
  </si>
  <si>
    <t xml:space="preserve">Wrecking </t>
  </si>
  <si>
    <t xml:space="preserve">Re-Roof </t>
  </si>
  <si>
    <t>BUILDINGS &amp; STRUCTURES REGULATED BY THE OBC (ADD OBBS ASSESSMENT FEE – 3%)</t>
  </si>
  <si>
    <t xml:space="preserve">New Buildings (Formula A or B) </t>
  </si>
  <si>
    <t xml:space="preserve">Additions (Formula A or B) </t>
  </si>
  <si>
    <t xml:space="preserve">Industrialized (includes all HVAC) </t>
  </si>
  <si>
    <t>Alterations &amp; Fire Repair</t>
  </si>
  <si>
    <t>A. Entire Building, floor, fire repair
alterations (Formula A or B)</t>
  </si>
  <si>
    <t>B. Minor Alterations (as determined by the Building Official)</t>
  </si>
  <si>
    <t>C. Change of Use (No building or mechanical work included)</t>
  </si>
  <si>
    <t>D. Minor Alterations and Change of Use (Formula A or B) (as determined by the Building Official) sq. ft. over 10,000 shall be calculated at 10,000 sq. ft.</t>
  </si>
  <si>
    <t xml:space="preserve">Partial Permits (conditional permits)
</t>
  </si>
  <si>
    <t>A. Footing &amp; Foundation</t>
  </si>
  <si>
    <t>B. Shell (Formula B)</t>
  </si>
  <si>
    <t>C. Interior Build-out of Shell (Formula A or B)</t>
  </si>
  <si>
    <t>Utility/Miscellaneous Structure
(Formula A or B)</t>
  </si>
  <si>
    <t xml:space="preserve">Awnings, Canopies &amp; Marquees
</t>
  </si>
  <si>
    <t>A. Light Construction</t>
  </si>
  <si>
    <t>B. Heavy Construction</t>
  </si>
  <si>
    <t xml:space="preserve">Kitchen Exhaust Hoods </t>
  </si>
  <si>
    <t xml:space="preserve">Membranes </t>
  </si>
  <si>
    <t xml:space="preserve">Pools </t>
  </si>
  <si>
    <t xml:space="preserve">Re-Roofing </t>
  </si>
  <si>
    <t xml:space="preserve">Retaining Walls &amp; Monuments </t>
  </si>
  <si>
    <t>Signs</t>
  </si>
  <si>
    <t>A. Permanent Ground Supported (over 3 sf)</t>
  </si>
  <si>
    <t>B. Wall, Projecting &amp; Roof (over2-1/2 sf)</t>
  </si>
  <si>
    <t xml:space="preserve">C. Single Sign Face Change </t>
  </si>
  <si>
    <t>(Multiple Face Changes on same site)</t>
  </si>
  <si>
    <t>ea. Add’l</t>
  </si>
  <si>
    <t xml:space="preserve">Spray Booths </t>
  </si>
  <si>
    <t>Temporary Structures – under 180
days (see Section 624.0)</t>
  </si>
  <si>
    <t xml:space="preserve">Tents </t>
  </si>
  <si>
    <t xml:space="preserve">/1000 sf TOTAL </t>
  </si>
  <si>
    <t xml:space="preserve">Gas Line (per meter) </t>
  </si>
  <si>
    <t>Other Building Service Piping
(refrigeration lines)</t>
  </si>
  <si>
    <t>FIRE PROTECTION SYSTEMS, Regulated by the OBC (Add OBBS Assessment Fee – 3%)</t>
  </si>
  <si>
    <t xml:space="preserve">Inside suppression work-including
limited area
</t>
  </si>
  <si>
    <t>A. New</t>
  </si>
  <si>
    <t>B. Alteration (arm-overs only)</t>
  </si>
  <si>
    <t xml:space="preserve">Outside Fire Line Work </t>
  </si>
  <si>
    <t xml:space="preserve">Gravity &amp; Pressure Tanks </t>
  </si>
  <si>
    <t xml:space="preserve">Fire Pumps </t>
  </si>
  <si>
    <t xml:space="preserve">Standpipes–House or FD hose system </t>
  </si>
  <si>
    <t>story/standpipe</t>
  </si>
  <si>
    <t xml:space="preserve">Hoods – Suppression System Only </t>
  </si>
  <si>
    <t>Fire Alarms</t>
  </si>
  <si>
    <t xml:space="preserve">    (Use Groups E, I, &amp; R)</t>
  </si>
  <si>
    <t xml:space="preserve">    (All other Use Groups)</t>
  </si>
  <si>
    <t>B. Alterations</t>
  </si>
  <si>
    <t xml:space="preserve">    (Use Groups E. I &amp; R)</t>
  </si>
  <si>
    <t>HEATING, VENTILATION &amp; AIR CONDITIONING, REGULATED BY THE OBC (add OBBS Assessment Fee – 3%)</t>
  </si>
  <si>
    <t xml:space="preserve">HVAC Equipment Replacement Only
(Single or combined Unit)
</t>
  </si>
  <si>
    <t>A. Includes Ductwork</t>
  </si>
  <si>
    <t>B. Without Ductwork, Unit Only</t>
  </si>
  <si>
    <t>C. Ductwork Only</t>
  </si>
  <si>
    <t>New/Additions/Alterations*
(Formula C)</t>
  </si>
  <si>
    <t>Alterations to Buildings**
(Formula C)</t>
  </si>
  <si>
    <t>HVAC work related to permits using
Calculation as per 4.D (Formula C); Sq.
ft. over 10,000 shall be calculated at
10,000 sq. ft.
*When building permit work
necessitates mechanical work.
**When a new mechanical system is
installed in an existing building as
regulated by OMC.</t>
  </si>
  <si>
    <t>TYPE OF CONSTRUCTION FACTOR*</t>
  </si>
  <si>
    <t>USE GROUP</t>
  </si>
  <si>
    <t>1A</t>
  </si>
  <si>
    <t>1B</t>
  </si>
  <si>
    <t>2A</t>
  </si>
  <si>
    <t>2B</t>
  </si>
  <si>
    <t>3A</t>
  </si>
  <si>
    <t>3B</t>
  </si>
  <si>
    <t>5A</t>
  </si>
  <si>
    <t>5B</t>
  </si>
  <si>
    <t>A-1</t>
  </si>
  <si>
    <t>Assembly, theaters</t>
  </si>
  <si>
    <t>A-2</t>
  </si>
  <si>
    <t>Assembly, nightclubs, restaurants, bars, banquet halls</t>
  </si>
  <si>
    <t>A-3</t>
  </si>
  <si>
    <t>Assembly, churches, general, community halls,
libraries, museums</t>
  </si>
  <si>
    <t>A-4/A-5</t>
  </si>
  <si>
    <t>Assembly, arenas</t>
  </si>
  <si>
    <t>B</t>
  </si>
  <si>
    <t>Business</t>
  </si>
  <si>
    <t>E</t>
  </si>
  <si>
    <t>Educational</t>
  </si>
  <si>
    <t>F-1</t>
  </si>
  <si>
    <t>Factory &amp; industrial, moderate hazard</t>
  </si>
  <si>
    <t>F-2</t>
  </si>
  <si>
    <t>Factory &amp; industrial, low hazard</t>
  </si>
  <si>
    <t>H-1</t>
  </si>
  <si>
    <t>High Hazard, explosives</t>
  </si>
  <si>
    <t>N.P.</t>
  </si>
  <si>
    <t>H-2-H-4</t>
  </si>
  <si>
    <t>High Hazard</t>
  </si>
  <si>
    <t>H-5</t>
  </si>
  <si>
    <t>HPM</t>
  </si>
  <si>
    <t>I-1</t>
  </si>
  <si>
    <t>Institutional, supervised environment</t>
  </si>
  <si>
    <t>1-2</t>
  </si>
  <si>
    <t>Institutional, incapacitated</t>
  </si>
  <si>
    <t>1-3</t>
  </si>
  <si>
    <t>Institutional, restrained</t>
  </si>
  <si>
    <t>1-4</t>
  </si>
  <si>
    <t>Institutional, day care facilities</t>
  </si>
  <si>
    <t>M</t>
  </si>
  <si>
    <t>Mercantile</t>
  </si>
  <si>
    <t>R-1</t>
  </si>
  <si>
    <t>Residential, hotels/motels</t>
  </si>
  <si>
    <t>R-2</t>
  </si>
  <si>
    <t>Residential, multiple family</t>
  </si>
  <si>
    <t>R-3 &amp; IRC</t>
  </si>
  <si>
    <t>Residential, one-&amp; two-family</t>
  </si>
  <si>
    <t>R-4</t>
  </si>
  <si>
    <t>Residential, care/assisted living facilities</t>
  </si>
  <si>
    <t>S-1</t>
  </si>
  <si>
    <t>Storage, moderate hazard</t>
  </si>
  <si>
    <t>S-2</t>
  </si>
  <si>
    <t>Storage, low hazard</t>
  </si>
  <si>
    <t>U</t>
  </si>
  <si>
    <t>Utility/Miscellaneous</t>
  </si>
  <si>
    <t>Certificate of Occupancy (CO) where required:</t>
  </si>
  <si>
    <t>Certificate of Temporary Occupancy (TCO):</t>
  </si>
  <si>
    <t>A.   Buildings and structures regulated by the HCBC</t>
  </si>
  <si>
    <t>B.  Buildings and structures regulated by the OBC</t>
  </si>
  <si>
    <t>C.  Occupying w/o TCO, penalty fee</t>
  </si>
  <si>
    <t>D.  Occupying w/o a Certificate of Occupancy</t>
  </si>
  <si>
    <t>Refund of Permit Fee (Section HC.A108.4).  If granted, shall be in the amount of half the entire permit fee, after deducting the Up-Front Fee and the
Zoning Certificate Fee.</t>
  </si>
  <si>
    <t>Unspecified Permit Fee – for any permit type, not specifically listed in this Fee Schedule, the fee shall be calculated to the most similar permit type,
use group and type of construction to be determined at the discretion of the Building Official</t>
  </si>
  <si>
    <t>Scanning fee for Permit Applications reviewed under OBC for paper documents submitted without a digital copy in an approved format:</t>
  </si>
  <si>
    <t>Field Inspection and Processing Fee (non-building permit related):</t>
  </si>
  <si>
    <t xml:space="preserve">Plan Review Fee – Accessed at 3rd  review for each hour thereafter: </t>
  </si>
  <si>
    <t>Board of Building Appeals:</t>
  </si>
  <si>
    <t>Fences over 6’ in height requiring a permit:</t>
  </si>
  <si>
    <t>Starting Without a permit – (See Section HC.A105.1.1) – Permit fee + $200% penalty fee</t>
  </si>
  <si>
    <t>Missed Inspection Fee – Failure to schedule a “called-for” inspection before proceeding to cover the work shall result in a Missed Inspection fee:</t>
  </si>
  <si>
    <t>Re—inspection fee – Not ready and Failed Inspections shall result in a Re-inspection Fee:</t>
  </si>
  <si>
    <t>Violations Penalties (Section HC.A113):</t>
  </si>
  <si>
    <t>Violations issued under the Code shall be punishable by a fine of not more than $300.00 for each offense as provided in Ohio Revised Code Section 307.37 and 307.99 (C).</t>
  </si>
  <si>
    <t>Violations issued for offenses to ORC Chapters 3781 and 3791 shall not be more than $1,000.00.</t>
  </si>
  <si>
    <t>Each Day that any such violation or failure continues shall be deemed a separate offense.</t>
  </si>
  <si>
    <t>Minimum is 4 hours.</t>
  </si>
  <si>
    <t>Unit + CO/CC</t>
  </si>
  <si>
    <t>Revision + 5% Tech + 1% State Srchg</t>
  </si>
  <si>
    <t>REVISION-Total</t>
  </si>
  <si>
    <t>1% state surcharge + 5% tech fee</t>
  </si>
  <si>
    <t>3% state surcharge + 5% tech fee</t>
  </si>
  <si>
    <t>Revision + 5% Tech + 3% State Srchg</t>
  </si>
  <si>
    <t>Min Fee + CO/CC</t>
  </si>
  <si>
    <t>Current Year</t>
  </si>
  <si>
    <t>Next Year</t>
  </si>
  <si>
    <t>CURRENT YEAR</t>
  </si>
  <si>
    <t>NEXT YEAR</t>
  </si>
  <si>
    <t>Min Fee is 4 hrs of inspections</t>
  </si>
  <si>
    <t>Limited to $100 by code</t>
  </si>
  <si>
    <r>
      <rPr>
        <b/>
        <i/>
        <u/>
        <sz val="9"/>
        <color theme="1"/>
        <rFont val="Calibri"/>
        <family val="2"/>
        <scheme val="minor"/>
      </rPr>
      <t>Instructions</t>
    </r>
    <r>
      <rPr>
        <b/>
        <i/>
        <sz val="9"/>
        <color theme="1"/>
        <rFont val="Calibri"/>
        <family val="2"/>
        <scheme val="minor"/>
      </rPr>
      <t>:  Each year, update Cell A1 with the fee increase and update the bolded values below with the current year's values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</si>
</sst>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0."/>
    <numFmt numFmtId="165" formatCode="&quot;$&quot;#,##0.00"/>
    <numFmt numFmtId="166" formatCode="0.0000"/>
    <numFmt numFmtId="167" formatCode="&quot;$&quot;#,##0.0000_);[Red]\(&quot;$&quot;#,##0.0000\)"/>
    <numFmt numFmtId="168" formatCode="0.000"/>
    <numFmt numFmtId="169" formatCode="&quot;$&quot;#,##0.000"/>
  </numFmts>
  <fonts count="22">
    <font>
      <sz val="11"/>
      <color theme="1"/>
      <name val="Calibri"/>
      <family val="2"/>
      <scheme val="minor"/>
    </font>
    <font>
      <sz val="9"/>
      <color rgb="FF000000"/>
      <name val="Calibri"/>
      <family val="2"/>
      <scheme val="minor"/>
    </font>
    <font>
      <b/>
      <sz val="9"/>
      <color rgb="FF000000"/>
      <name val="Calibri-Bold"/>
    </font>
    <font>
      <sz val="10"/>
      <color theme="1"/>
      <name val="Arial Narrow"/>
      <family val="2"/>
    </font>
    <font>
      <b/>
      <sz val="9"/>
      <color rgb="FF000000"/>
      <name val="Arial"/>
      <family val="2"/>
    </font>
    <font>
      <sz val="9"/>
      <color rgb="FF000000"/>
      <name val="Arial"/>
      <family val="2"/>
    </font>
    <font>
      <sz val="9"/>
      <color theme="1"/>
      <name val="Arial"/>
      <family val="2"/>
    </font>
    <font>
      <sz val="11"/>
      <color theme="1"/>
      <name val="Arial Narrow"/>
      <family val="2"/>
    </font>
    <font>
      <sz val="8"/>
      <color rgb="FF000000"/>
      <name val="Arial Narrow"/>
      <family val="2"/>
    </font>
    <font>
      <sz val="8"/>
      <color theme="1"/>
      <name val="Arial Narrow"/>
      <family val="2"/>
    </font>
    <font>
      <b/>
      <sz val="9"/>
      <color rgb="FF000000"/>
      <name val="Arial Narrow"/>
      <family val="2"/>
    </font>
    <font>
      <b/>
      <sz val="6"/>
      <color rgb="FF000000"/>
      <name val="Arial Narrow"/>
      <family val="2"/>
    </font>
    <font>
      <b/>
      <sz val="10"/>
      <color rgb="FF000000"/>
      <name val="Arial Narrow"/>
      <family val="2"/>
    </font>
    <font>
      <b/>
      <sz val="9"/>
      <color indexed="8"/>
      <name val="Arial Narrow"/>
      <family val="2"/>
    </font>
    <font>
      <sz val="10"/>
      <name val="Arial Narrow"/>
      <family val="2"/>
    </font>
    <font>
      <sz val="9"/>
      <color indexed="8"/>
      <name val="Arial Narrow"/>
      <family val="2"/>
    </font>
    <font>
      <b/>
      <sz val="11"/>
      <color theme="1"/>
      <name val="Calibri"/>
      <family val="2"/>
      <scheme val="minor"/>
    </font>
    <font>
      <i/>
      <sz val="11"/>
      <color theme="1"/>
      <name val="Calibri"/>
      <family val="2"/>
      <scheme val="minor"/>
    </font>
    <font>
      <sz val="8"/>
      <color theme="1"/>
      <name val="Calibri"/>
      <family val="2"/>
      <scheme val="minor"/>
    </font>
    <font>
      <b/>
      <i/>
      <sz val="9"/>
      <color theme="1"/>
      <name val="Calibri"/>
      <family val="2"/>
      <scheme val="minor"/>
    </font>
    <font>
      <b/>
      <i/>
      <u/>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16">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center"/>
    </xf>
    <xf numFmtId="0" fontId="0" fillId="0" borderId="0" xfId="0" applyAlignment="1">
      <alignment vertical="top"/>
    </xf>
    <xf numFmtId="2" fontId="0" fillId="0" borderId="0" xfId="0" applyNumberFormat="1"/>
    <xf numFmtId="4" fontId="0" fillId="0" borderId="0" xfId="0" applyNumberFormat="1"/>
    <xf numFmtId="165" fontId="0" fillId="0" borderId="0" xfId="0" applyNumberFormat="1"/>
    <xf numFmtId="165" fontId="3" fillId="0" borderId="0" xfId="0" applyNumberFormat="1" applyFont="1"/>
    <xf numFmtId="0" fontId="5" fillId="0" borderId="0" xfId="0" applyFont="1" applyAlignment="1">
      <alignment wrapText="1"/>
    </xf>
    <xf numFmtId="0" fontId="5" fillId="0" borderId="0" xfId="0" applyFont="1" applyAlignment="1">
      <alignment horizontal="center" wrapText="1"/>
    </xf>
    <xf numFmtId="165" fontId="5" fillId="0" borderId="0" xfId="0" applyNumberFormat="1" applyFont="1" applyAlignment="1">
      <alignment horizontal="center" wrapText="1"/>
    </xf>
    <xf numFmtId="0" fontId="6" fillId="0" borderId="0" xfId="0" applyFont="1"/>
    <xf numFmtId="0" fontId="4" fillId="0" borderId="0" xfId="0" applyFont="1" applyAlignment="1">
      <alignment vertical="center"/>
    </xf>
    <xf numFmtId="165" fontId="6" fillId="0" borderId="0" xfId="0" applyNumberFormat="1" applyFont="1"/>
    <xf numFmtId="0" fontId="6"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vertical="center"/>
    </xf>
    <xf numFmtId="2" fontId="0" fillId="0" borderId="0" xfId="0" applyNumberFormat="1" applyAlignment="1">
      <alignment vertical="top"/>
    </xf>
    <xf numFmtId="4" fontId="0" fillId="0" borderId="0" xfId="0" applyNumberFormat="1" applyAlignment="1">
      <alignment vertical="center"/>
    </xf>
    <xf numFmtId="4" fontId="0" fillId="0" borderId="0" xfId="0" applyNumberFormat="1" applyAlignment="1">
      <alignment vertical="top"/>
    </xf>
    <xf numFmtId="8"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2" fontId="0" fillId="2" borderId="0" xfId="0" applyNumberFormat="1" applyFill="1" applyAlignment="1">
      <alignment vertical="top"/>
    </xf>
    <xf numFmtId="2" fontId="0" fillId="2" borderId="0" xfId="0" applyNumberFormat="1" applyFill="1"/>
    <xf numFmtId="0" fontId="1" fillId="3" borderId="0" xfId="0" applyFont="1" applyFill="1" applyAlignment="1">
      <alignment horizontal="center" vertical="top" wrapText="1"/>
    </xf>
    <xf numFmtId="4" fontId="0" fillId="3" borderId="0" xfId="0" applyNumberFormat="1" applyFill="1" applyAlignment="1">
      <alignment vertical="center"/>
    </xf>
    <xf numFmtId="4" fontId="0" fillId="3" borderId="0" xfId="0" applyNumberFormat="1" applyFill="1" applyAlignment="1">
      <alignment vertical="top"/>
    </xf>
    <xf numFmtId="4" fontId="0" fillId="3" borderId="0" xfId="0" applyNumberFormat="1" applyFill="1"/>
    <xf numFmtId="2" fontId="1" fillId="0" borderId="0" xfId="0" applyNumberFormat="1" applyFont="1" applyAlignment="1">
      <alignment horizontal="center" vertical="center" wrapText="1"/>
    </xf>
    <xf numFmtId="2" fontId="1" fillId="0" borderId="0" xfId="0" applyNumberFormat="1" applyFont="1" applyAlignment="1">
      <alignment horizontal="center" vertical="top" wrapText="1"/>
    </xf>
    <xf numFmtId="0" fontId="1" fillId="0" borderId="9" xfId="0" applyFont="1" applyBorder="1" applyAlignment="1">
      <alignment horizontal="center" vertical="top" wrapText="1"/>
    </xf>
    <xf numFmtId="0" fontId="1" fillId="0" borderId="0" xfId="0" applyFont="1" applyAlignment="1">
      <alignment horizontal="center" vertical="top" wrapText="1"/>
    </xf>
    <xf numFmtId="8" fontId="1" fillId="0" borderId="0" xfId="0" applyNumberFormat="1" applyFont="1" applyAlignment="1">
      <alignment horizontal="center"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0" xfId="0" applyFont="1" applyAlignment="1">
      <alignment vertical="top" wrapText="1"/>
    </xf>
    <xf numFmtId="0" fontId="8" fillId="0" borderId="4"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top" wrapText="1"/>
    </xf>
    <xf numFmtId="8" fontId="8" fillId="0" borderId="1" xfId="0" applyNumberFormat="1" applyFont="1" applyBorder="1" applyAlignment="1">
      <alignment horizontal="center" vertical="top" wrapText="1"/>
    </xf>
    <xf numFmtId="165" fontId="8" fillId="0" borderId="3" xfId="0" applyNumberFormat="1" applyFont="1" applyBorder="1" applyAlignment="1">
      <alignment vertical="top" wrapText="1"/>
    </xf>
    <xf numFmtId="0" fontId="8" fillId="0" borderId="12" xfId="0" applyFont="1" applyBorder="1" applyAlignment="1">
      <alignment horizontal="center" vertical="top" wrapText="1"/>
    </xf>
    <xf numFmtId="0" fontId="8" fillId="0" borderId="13" xfId="0" applyFont="1" applyBorder="1" applyAlignment="1">
      <alignment vertical="top" wrapText="1"/>
    </xf>
    <xf numFmtId="8" fontId="8" fillId="0" borderId="13" xfId="0" applyNumberFormat="1" applyFont="1" applyBorder="1" applyAlignment="1">
      <alignment horizontal="center" vertical="top" wrapText="1"/>
    </xf>
    <xf numFmtId="0" fontId="8" fillId="0" borderId="13" xfId="0" applyFont="1" applyBorder="1" applyAlignment="1">
      <alignment horizontal="center" vertical="top" wrapText="1"/>
    </xf>
    <xf numFmtId="165" fontId="8" fillId="0" borderId="9" xfId="0" applyNumberFormat="1" applyFont="1" applyBorder="1" applyAlignment="1">
      <alignment vertical="top" wrapText="1"/>
    </xf>
    <xf numFmtId="0" fontId="8" fillId="0" borderId="0" xfId="0" applyFont="1" applyAlignment="1">
      <alignment horizontal="center" vertical="top" wrapText="1"/>
    </xf>
    <xf numFmtId="0" fontId="8" fillId="0" borderId="14" xfId="0" applyFont="1" applyBorder="1" applyAlignment="1">
      <alignment vertical="top" wrapText="1"/>
    </xf>
    <xf numFmtId="0" fontId="8" fillId="0" borderId="10" xfId="0" applyFont="1" applyBorder="1" applyAlignment="1">
      <alignment vertical="top" wrapText="1"/>
    </xf>
    <xf numFmtId="0" fontId="8" fillId="0" borderId="4" xfId="0" applyFont="1" applyBorder="1" applyAlignment="1">
      <alignment horizontal="center" vertical="top" wrapText="1"/>
    </xf>
    <xf numFmtId="8" fontId="8" fillId="0" borderId="11" xfId="0" applyNumberFormat="1" applyFont="1" applyBorder="1" applyAlignment="1">
      <alignment horizontal="center" vertical="top" wrapText="1"/>
    </xf>
    <xf numFmtId="8" fontId="8" fillId="0" borderId="4" xfId="0" applyNumberFormat="1" applyFont="1" applyBorder="1" applyAlignment="1">
      <alignment horizontal="center" vertical="top" wrapText="1"/>
    </xf>
    <xf numFmtId="165" fontId="8" fillId="0" borderId="11" xfId="0" applyNumberFormat="1" applyFont="1" applyBorder="1" applyAlignment="1">
      <alignment vertical="top" wrapText="1"/>
    </xf>
    <xf numFmtId="0" fontId="8" fillId="0" borderId="11" xfId="0" applyFont="1" applyBorder="1" applyAlignment="1">
      <alignment horizontal="center" vertical="top" wrapText="1"/>
    </xf>
    <xf numFmtId="0" fontId="8" fillId="0" borderId="16" xfId="0" applyFont="1" applyBorder="1" applyAlignment="1">
      <alignment vertical="center" wrapText="1"/>
    </xf>
    <xf numFmtId="8" fontId="8" fillId="0" borderId="16" xfId="0" applyNumberFormat="1" applyFont="1" applyBorder="1" applyAlignment="1">
      <alignment horizontal="center" vertical="top" wrapText="1"/>
    </xf>
    <xf numFmtId="8" fontId="8" fillId="0" borderId="15" xfId="0" applyNumberFormat="1" applyFont="1" applyBorder="1" applyAlignment="1">
      <alignment horizontal="center" vertical="top" wrapText="1"/>
    </xf>
    <xf numFmtId="0" fontId="8" fillId="0" borderId="13" xfId="0" quotePrefix="1" applyFont="1" applyBorder="1" applyAlignment="1">
      <alignment horizontal="center" vertical="top" wrapText="1"/>
    </xf>
    <xf numFmtId="0" fontId="8" fillId="0" borderId="15" xfId="0" applyFont="1" applyBorder="1" applyAlignment="1">
      <alignment horizontal="center" vertical="top" wrapText="1"/>
    </xf>
    <xf numFmtId="165" fontId="8" fillId="0" borderId="14" xfId="0" applyNumberFormat="1" applyFont="1" applyBorder="1" applyAlignment="1">
      <alignment horizontal="center" vertical="top" wrapText="1"/>
    </xf>
    <xf numFmtId="165" fontId="8" fillId="0" borderId="15" xfId="0" applyNumberFormat="1" applyFont="1" applyBorder="1" applyAlignment="1">
      <alignment horizontal="center" vertical="top" wrapText="1"/>
    </xf>
    <xf numFmtId="165" fontId="8" fillId="0" borderId="11" xfId="0" applyNumberFormat="1" applyFont="1" applyBorder="1" applyAlignment="1">
      <alignment horizontal="center" vertical="top"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9" xfId="0" applyFont="1" applyBorder="1" applyAlignment="1">
      <alignment wrapText="1"/>
    </xf>
    <xf numFmtId="0" fontId="8" fillId="0" borderId="10" xfId="0" applyFont="1" applyBorder="1" applyAlignment="1">
      <alignment vertical="center" wrapText="1"/>
    </xf>
    <xf numFmtId="0" fontId="10" fillId="0" borderId="13" xfId="0" applyFont="1" applyBorder="1" applyAlignment="1">
      <alignment horizontal="center" wrapText="1"/>
    </xf>
    <xf numFmtId="0" fontId="8" fillId="0" borderId="3" xfId="0" applyFont="1" applyBorder="1" applyAlignment="1">
      <alignment horizontal="center" vertical="top" wrapText="1"/>
    </xf>
    <xf numFmtId="0" fontId="8" fillId="0" borderId="12" xfId="0" applyFont="1" applyBorder="1" applyAlignment="1">
      <alignment horizontal="center" vertical="center" wrapText="1"/>
    </xf>
    <xf numFmtId="8" fontId="8" fillId="0" borderId="1" xfId="0" applyNumberFormat="1" applyFont="1" applyBorder="1" applyAlignment="1">
      <alignment horizontal="center" vertical="center" wrapText="1"/>
    </xf>
    <xf numFmtId="8" fontId="8" fillId="0" borderId="12" xfId="0" applyNumberFormat="1" applyFont="1" applyBorder="1" applyAlignment="1">
      <alignment horizontal="center" vertical="center" wrapText="1"/>
    </xf>
    <xf numFmtId="165" fontId="8" fillId="0" borderId="3" xfId="0" applyNumberFormat="1" applyFont="1" applyBorder="1" applyAlignment="1">
      <alignment horizontal="right"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top" wrapText="1"/>
    </xf>
    <xf numFmtId="8" fontId="8" fillId="0" borderId="15" xfId="0" applyNumberFormat="1" applyFont="1" applyBorder="1" applyAlignment="1">
      <alignment horizontal="center" vertical="center" wrapText="1"/>
    </xf>
    <xf numFmtId="8"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right" vertical="center" wrapText="1"/>
    </xf>
    <xf numFmtId="0" fontId="8" fillId="0" borderId="9" xfId="0" applyFont="1" applyBorder="1" applyAlignment="1">
      <alignment horizontal="center" vertical="top" wrapText="1"/>
    </xf>
    <xf numFmtId="0" fontId="8" fillId="0" borderId="16" xfId="0" applyFont="1" applyBorder="1" applyAlignment="1">
      <alignment vertical="top" wrapText="1"/>
    </xf>
    <xf numFmtId="8" fontId="8" fillId="0" borderId="0" xfId="0" applyNumberFormat="1" applyFont="1" applyAlignment="1">
      <alignment horizontal="center" vertical="top" wrapText="1"/>
    </xf>
    <xf numFmtId="165" fontId="8" fillId="0" borderId="9" xfId="0" applyNumberFormat="1" applyFont="1" applyBorder="1" applyAlignment="1">
      <alignment horizontal="right" vertical="top" wrapText="1"/>
    </xf>
    <xf numFmtId="0" fontId="8" fillId="0" borderId="16" xfId="0" applyFont="1" applyBorder="1" applyAlignment="1">
      <alignment wrapText="1"/>
    </xf>
    <xf numFmtId="0" fontId="8" fillId="0" borderId="16" xfId="0" applyFont="1" applyBorder="1" applyAlignment="1">
      <alignment horizontal="center" vertical="top" wrapText="1"/>
    </xf>
    <xf numFmtId="0" fontId="8" fillId="0" borderId="10" xfId="0" applyFont="1" applyBorder="1" applyAlignment="1">
      <alignment horizontal="center" vertical="top" wrapText="1"/>
    </xf>
    <xf numFmtId="0" fontId="8" fillId="0" borderId="4" xfId="0" applyFont="1" applyBorder="1" applyAlignment="1">
      <alignment horizontal="left" wrapText="1"/>
    </xf>
    <xf numFmtId="165" fontId="8" fillId="0" borderId="10" xfId="0" applyNumberFormat="1" applyFont="1" applyBorder="1" applyAlignment="1">
      <alignment horizontal="right" vertical="top" wrapText="1"/>
    </xf>
    <xf numFmtId="0" fontId="8" fillId="0" borderId="13" xfId="0" applyFont="1" applyBorder="1" applyAlignment="1">
      <alignment horizontal="left" vertical="top" wrapText="1"/>
    </xf>
    <xf numFmtId="0" fontId="8" fillId="0" borderId="15" xfId="0" applyFont="1" applyBorder="1" applyAlignment="1">
      <alignment horizontal="left" vertical="top" wrapText="1"/>
    </xf>
    <xf numFmtId="0" fontId="8" fillId="0" borderId="14" xfId="0" applyFont="1" applyBorder="1" applyAlignment="1">
      <alignment horizontal="right" vertical="top" wrapText="1"/>
    </xf>
    <xf numFmtId="8" fontId="8" fillId="0" borderId="0" xfId="0" applyNumberFormat="1" applyFont="1" applyAlignment="1">
      <alignment horizontal="center" vertical="center" wrapText="1"/>
    </xf>
    <xf numFmtId="8" fontId="8" fillId="0" borderId="16" xfId="0" applyNumberFormat="1" applyFont="1" applyBorder="1" applyAlignment="1">
      <alignment horizontal="center" vertical="center" wrapText="1"/>
    </xf>
    <xf numFmtId="165" fontId="8" fillId="0" borderId="9" xfId="0" applyNumberFormat="1" applyFont="1" applyBorder="1" applyAlignment="1">
      <alignment horizontal="right" vertical="center" wrapText="1"/>
    </xf>
    <xf numFmtId="0" fontId="8" fillId="0" borderId="0" xfId="0" applyFont="1" applyAlignment="1">
      <alignment horizontal="center" vertical="center" wrapText="1"/>
    </xf>
    <xf numFmtId="0" fontId="8" fillId="0" borderId="1" xfId="0" applyFont="1" applyBorder="1" applyAlignment="1">
      <alignment vertical="top" wrapText="1"/>
    </xf>
    <xf numFmtId="8" fontId="8" fillId="0" borderId="12" xfId="0" applyNumberFormat="1" applyFont="1" applyBorder="1" applyAlignment="1">
      <alignment horizontal="center" vertical="top" wrapText="1"/>
    </xf>
    <xf numFmtId="165" fontId="8" fillId="0" borderId="3" xfId="0" applyNumberFormat="1" applyFont="1" applyBorder="1" applyAlignment="1">
      <alignment horizontal="right" vertical="top" wrapText="1"/>
    </xf>
    <xf numFmtId="8" fontId="8" fillId="0" borderId="11" xfId="0" applyNumberFormat="1" applyFont="1" applyBorder="1" applyAlignment="1">
      <alignment horizontal="center" vertical="center" wrapText="1"/>
    </xf>
    <xf numFmtId="8" fontId="8" fillId="0" borderId="4" xfId="0" applyNumberFormat="1" applyFont="1" applyBorder="1" applyAlignment="1">
      <alignment horizontal="center" vertical="center" wrapText="1"/>
    </xf>
    <xf numFmtId="165" fontId="8" fillId="0" borderId="10" xfId="0" applyNumberFormat="1" applyFont="1" applyBorder="1" applyAlignment="1">
      <alignment horizontal="right" vertical="center" wrapText="1"/>
    </xf>
    <xf numFmtId="0" fontId="8" fillId="0" borderId="11" xfId="0" applyFont="1" applyBorder="1" applyAlignment="1">
      <alignment horizontal="center" vertical="center" wrapText="1"/>
    </xf>
    <xf numFmtId="2" fontId="8" fillId="0" borderId="1" xfId="0" applyNumberFormat="1" applyFont="1" applyBorder="1" applyAlignment="1">
      <alignment horizontal="center" vertical="center" wrapText="1"/>
    </xf>
    <xf numFmtId="8" fontId="8" fillId="0" borderId="12" xfId="0" quotePrefix="1"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0" fontId="9" fillId="0" borderId="12" xfId="0" applyFont="1" applyBorder="1" applyAlignment="1">
      <alignment horizontal="center"/>
    </xf>
    <xf numFmtId="0" fontId="8" fillId="0" borderId="3" xfId="0" applyFont="1" applyBorder="1" applyAlignment="1">
      <alignment horizontal="center" vertical="center" wrapText="1"/>
    </xf>
    <xf numFmtId="167" fontId="8" fillId="0" borderId="12" xfId="0" applyNumberFormat="1" applyFont="1" applyBorder="1" applyAlignment="1">
      <alignment horizontal="center" vertical="center" wrapText="1"/>
    </xf>
    <xf numFmtId="165" fontId="9" fillId="0" borderId="3" xfId="0" applyNumberFormat="1" applyFont="1" applyBorder="1" applyAlignment="1">
      <alignment horizontal="right"/>
    </xf>
    <xf numFmtId="0" fontId="8" fillId="0" borderId="16" xfId="0" applyFont="1" applyBorder="1" applyAlignment="1">
      <alignment horizontal="center" vertical="center" wrapText="1"/>
    </xf>
    <xf numFmtId="0" fontId="8" fillId="0" borderId="9" xfId="0" applyFont="1" applyBorder="1" applyAlignment="1">
      <alignment horizontal="right" vertical="center" wrapText="1"/>
    </xf>
    <xf numFmtId="0" fontId="8" fillId="0" borderId="4" xfId="0" applyFont="1" applyBorder="1" applyAlignment="1">
      <alignment vertical="top" wrapText="1"/>
    </xf>
    <xf numFmtId="0" fontId="8" fillId="0" borderId="4" xfId="0" applyFont="1" applyBorder="1" applyAlignment="1">
      <alignment horizontal="center" vertical="center" wrapText="1"/>
    </xf>
    <xf numFmtId="0" fontId="8" fillId="0" borderId="10" xfId="0" applyFont="1" applyBorder="1" applyAlignment="1">
      <alignment horizontal="right" vertical="center" wrapText="1"/>
    </xf>
    <xf numFmtId="8" fontId="8" fillId="0" borderId="12" xfId="0" applyNumberFormat="1" applyFont="1" applyBorder="1" applyAlignment="1">
      <alignment horizontal="right" vertical="center" wrapText="1"/>
    </xf>
    <xf numFmtId="0" fontId="8" fillId="0" borderId="15" xfId="0" applyFont="1" applyBorder="1" applyAlignment="1">
      <alignment vertical="top" wrapText="1"/>
    </xf>
    <xf numFmtId="0" fontId="8" fillId="0" borderId="9" xfId="0" applyFont="1" applyBorder="1" applyAlignment="1">
      <alignment vertical="top" wrapText="1"/>
    </xf>
    <xf numFmtId="0" fontId="8" fillId="0" borderId="3" xfId="0" applyFont="1" applyBorder="1" applyAlignment="1">
      <alignment vertical="top" wrapText="1"/>
    </xf>
    <xf numFmtId="165" fontId="8" fillId="0" borderId="14" xfId="0" applyNumberFormat="1" applyFont="1" applyBorder="1" applyAlignment="1">
      <alignment horizontal="right" vertical="top" wrapText="1"/>
    </xf>
    <xf numFmtId="0" fontId="8" fillId="0" borderId="11" xfId="0" applyFont="1" applyBorder="1" applyAlignment="1">
      <alignment vertical="top" wrapText="1"/>
    </xf>
    <xf numFmtId="0" fontId="8" fillId="0" borderId="9" xfId="0" applyFont="1" applyBorder="1" applyAlignment="1">
      <alignment vertical="center" wrapText="1"/>
    </xf>
    <xf numFmtId="0" fontId="8" fillId="0" borderId="0" xfId="0" applyFont="1" applyAlignment="1">
      <alignment vertical="center" wrapText="1"/>
    </xf>
    <xf numFmtId="0" fontId="9" fillId="0" borderId="0" xfId="0" applyFont="1" applyAlignment="1">
      <alignment horizontal="center"/>
    </xf>
    <xf numFmtId="0" fontId="9" fillId="0" borderId="16" xfId="0" applyFont="1" applyBorder="1" applyAlignment="1">
      <alignment horizontal="center"/>
    </xf>
    <xf numFmtId="0" fontId="9" fillId="0" borderId="9" xfId="0" applyFont="1" applyBorder="1"/>
    <xf numFmtId="0" fontId="8" fillId="0" borderId="0" xfId="0" applyFont="1" applyAlignment="1">
      <alignment vertical="top" wrapText="1"/>
    </xf>
    <xf numFmtId="165" fontId="8" fillId="0" borderId="0" xfId="0" applyNumberFormat="1" applyFont="1" applyAlignment="1">
      <alignment horizontal="right" vertical="top" wrapText="1"/>
    </xf>
    <xf numFmtId="0" fontId="8" fillId="0" borderId="12" xfId="0" applyFont="1" applyBorder="1" applyAlignment="1">
      <alignment vertical="center" wrapText="1"/>
    </xf>
    <xf numFmtId="165" fontId="8" fillId="0" borderId="12" xfId="0" applyNumberFormat="1" applyFont="1" applyBorder="1" applyAlignment="1">
      <alignment horizontal="right" vertical="top" wrapText="1"/>
    </xf>
    <xf numFmtId="0" fontId="10" fillId="0" borderId="1" xfId="0" applyFont="1" applyBorder="1" applyAlignment="1">
      <alignment horizontal="center" wrapText="1"/>
    </xf>
    <xf numFmtId="0" fontId="14" fillId="0" borderId="5" xfId="0" applyFont="1" applyBorder="1" applyAlignment="1">
      <alignment horizontal="left" vertical="center" wrapText="1"/>
    </xf>
    <xf numFmtId="0" fontId="13" fillId="0" borderId="5" xfId="0" applyFont="1" applyBorder="1" applyAlignment="1">
      <alignment horizontal="left" vertical="top" wrapText="1" indent="1"/>
    </xf>
    <xf numFmtId="0" fontId="13" fillId="0" borderId="5" xfId="0" applyFont="1" applyBorder="1" applyAlignment="1">
      <alignment horizontal="center" vertical="top" wrapText="1"/>
    </xf>
    <xf numFmtId="1" fontId="13" fillId="0" borderId="5" xfId="0" applyNumberFormat="1" applyFont="1" applyBorder="1" applyAlignment="1">
      <alignment horizontal="center" vertical="top" shrinkToFit="1"/>
    </xf>
    <xf numFmtId="0" fontId="15" fillId="0" borderId="5" xfId="0" applyFont="1" applyBorder="1" applyAlignment="1">
      <alignment horizontal="left" vertical="top" wrapText="1"/>
    </xf>
    <xf numFmtId="2" fontId="15" fillId="0" borderId="5" xfId="0" applyNumberFormat="1" applyFont="1" applyBorder="1" applyAlignment="1">
      <alignment horizontal="center" vertical="top" shrinkToFit="1"/>
    </xf>
    <xf numFmtId="2" fontId="15" fillId="0" borderId="5" xfId="0" applyNumberFormat="1" applyFont="1" applyBorder="1" applyAlignment="1">
      <alignment horizontal="center" vertical="top" wrapText="1"/>
    </xf>
    <xf numFmtId="164" fontId="15" fillId="0" borderId="13" xfId="0" applyNumberFormat="1" applyFont="1" applyBorder="1" applyAlignment="1">
      <alignment horizontal="left" vertical="top" shrinkToFit="1"/>
    </xf>
    <xf numFmtId="0" fontId="15" fillId="0" borderId="13" xfId="0" applyFont="1" applyBorder="1" applyAlignment="1">
      <alignment horizontal="left" vertical="top" wrapText="1"/>
    </xf>
    <xf numFmtId="164" fontId="15" fillId="0" borderId="16" xfId="0" applyNumberFormat="1" applyFont="1" applyBorder="1" applyAlignment="1">
      <alignment horizontal="left" vertical="top" shrinkToFit="1"/>
    </xf>
    <xf numFmtId="2" fontId="15" fillId="0" borderId="16" xfId="0" applyNumberFormat="1" applyFont="1" applyBorder="1" applyAlignment="1">
      <alignment horizontal="left" vertical="top" wrapText="1"/>
    </xf>
    <xf numFmtId="0" fontId="15" fillId="0" borderId="16" xfId="0" applyFont="1" applyBorder="1" applyAlignment="1">
      <alignment horizontal="left" vertical="top" wrapText="1"/>
    </xf>
    <xf numFmtId="164" fontId="15" fillId="0" borderId="4" xfId="0" applyNumberFormat="1" applyFont="1" applyBorder="1" applyAlignment="1">
      <alignment horizontal="left" vertical="top" shrinkToFit="1"/>
    </xf>
    <xf numFmtId="0" fontId="15" fillId="0" borderId="4" xfId="0" applyFont="1" applyBorder="1" applyAlignment="1">
      <alignment horizontal="left" vertical="top" wrapText="1"/>
    </xf>
    <xf numFmtId="164" fontId="15" fillId="0" borderId="1" xfId="0" applyNumberFormat="1" applyFont="1" applyBorder="1" applyAlignment="1">
      <alignment horizontal="left" vertical="top" shrinkToFit="1"/>
    </xf>
    <xf numFmtId="0" fontId="15" fillId="0" borderId="1" xfId="0" applyFont="1" applyBorder="1" applyAlignment="1">
      <alignment horizontal="left" vertical="top" wrapText="1"/>
    </xf>
    <xf numFmtId="0" fontId="7" fillId="0" borderId="4" xfId="0" applyFont="1" applyBorder="1"/>
    <xf numFmtId="0" fontId="10" fillId="0" borderId="12" xfId="0" applyFont="1" applyBorder="1" applyAlignment="1">
      <alignment horizontal="center" wrapText="1"/>
    </xf>
    <xf numFmtId="0" fontId="12" fillId="0" borderId="0" xfId="0" applyFont="1" applyAlignment="1">
      <alignment horizontal="left" vertical="center"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10" fillId="0" borderId="15" xfId="0" applyFont="1" applyBorder="1" applyAlignment="1">
      <alignment horizontal="left" vertical="center" wrapText="1"/>
    </xf>
    <xf numFmtId="0" fontId="10" fillId="0" borderId="11" xfId="0" applyFont="1" applyBorder="1" applyAlignment="1">
      <alignment horizontal="left" vertical="center" wrapText="1"/>
    </xf>
    <xf numFmtId="168" fontId="0" fillId="0" borderId="0" xfId="0" applyNumberFormat="1"/>
    <xf numFmtId="169" fontId="5" fillId="0" borderId="0" xfId="0" applyNumberFormat="1" applyFont="1" applyAlignment="1">
      <alignment horizontal="center" wrapText="1"/>
    </xf>
    <xf numFmtId="165" fontId="8" fillId="0" borderId="0" xfId="0" applyNumberFormat="1" applyFont="1" applyAlignment="1">
      <alignment vertical="top" wrapText="1"/>
    </xf>
    <xf numFmtId="8" fontId="8" fillId="0" borderId="10" xfId="0" applyNumberFormat="1" applyFont="1" applyBorder="1" applyAlignment="1">
      <alignment horizontal="center" vertical="top" wrapText="1"/>
    </xf>
    <xf numFmtId="165" fontId="8" fillId="0" borderId="15" xfId="0" applyNumberFormat="1" applyFont="1" applyBorder="1" applyAlignment="1">
      <alignment vertical="top" wrapText="1"/>
    </xf>
    <xf numFmtId="165" fontId="8" fillId="0" borderId="4" xfId="0" quotePrefix="1" applyNumberFormat="1" applyFont="1" applyBorder="1" applyAlignment="1">
      <alignment horizontal="center" vertical="top" wrapText="1"/>
    </xf>
    <xf numFmtId="165" fontId="8" fillId="0" borderId="10" xfId="0" applyNumberFormat="1" applyFont="1" applyBorder="1" applyAlignment="1">
      <alignment horizontal="center" vertical="top" wrapText="1"/>
    </xf>
    <xf numFmtId="165" fontId="8" fillId="0" borderId="3" xfId="0" applyNumberFormat="1" applyFont="1" applyBorder="1" applyAlignment="1">
      <alignment horizontal="center" vertical="top" wrapText="1"/>
    </xf>
    <xf numFmtId="165" fontId="8" fillId="0" borderId="12" xfId="0" applyNumberFormat="1" applyFont="1" applyBorder="1" applyAlignment="1">
      <alignment horizontal="center" vertical="top" wrapText="1"/>
    </xf>
    <xf numFmtId="165" fontId="8" fillId="0" borderId="0" xfId="0" applyNumberFormat="1" applyFont="1" applyAlignment="1">
      <alignment horizontal="center" vertical="top" wrapText="1"/>
    </xf>
    <xf numFmtId="8" fontId="8" fillId="0" borderId="3" xfId="0" applyNumberFormat="1" applyFont="1" applyBorder="1" applyAlignment="1">
      <alignment horizontal="center" vertical="top" wrapText="1"/>
    </xf>
    <xf numFmtId="165" fontId="8" fillId="0" borderId="12" xfId="0" applyNumberFormat="1" applyFont="1" applyBorder="1" applyAlignment="1">
      <alignment vertical="top" wrapText="1"/>
    </xf>
    <xf numFmtId="2" fontId="0" fillId="0" borderId="0" xfId="0" applyNumberFormat="1" applyAlignment="1">
      <alignment horizontal="right"/>
    </xf>
    <xf numFmtId="2" fontId="0" fillId="0" borderId="0" xfId="0" applyNumberFormat="1" applyAlignment="1">
      <alignment horizontal="right" vertical="top"/>
    </xf>
    <xf numFmtId="2" fontId="17" fillId="0" borderId="0" xfId="0" applyNumberFormat="1" applyFont="1" applyAlignment="1">
      <alignment horizontal="right" vertical="top"/>
    </xf>
    <xf numFmtId="2" fontId="16" fillId="0" borderId="0" xfId="0" applyNumberFormat="1" applyFont="1" applyAlignment="1">
      <alignment horizontal="right" vertical="top"/>
    </xf>
    <xf numFmtId="2" fontId="16" fillId="0" borderId="0" xfId="0" applyNumberFormat="1" applyFont="1" applyAlignment="1">
      <alignment vertical="top"/>
    </xf>
    <xf numFmtId="0" fontId="16" fillId="0" borderId="0" xfId="0" applyFont="1" applyAlignment="1">
      <alignment vertical="top"/>
    </xf>
    <xf numFmtId="4" fontId="17" fillId="0" borderId="0" xfId="0" applyNumberFormat="1" applyFont="1" applyAlignment="1">
      <alignment vertical="top"/>
    </xf>
    <xf numFmtId="4" fontId="16" fillId="0" borderId="0" xfId="0" applyNumberFormat="1" applyFont="1" applyAlignment="1">
      <alignment vertical="center"/>
    </xf>
    <xf numFmtId="4" fontId="16" fillId="0" borderId="0" xfId="0" applyNumberFormat="1" applyFont="1" applyAlignment="1">
      <alignment vertical="top"/>
    </xf>
    <xf numFmtId="4" fontId="16" fillId="0" borderId="0" xfId="0" applyNumberFormat="1" applyFont="1"/>
    <xf numFmtId="0" fontId="16" fillId="0" borderId="0" xfId="0" applyFont="1"/>
    <xf numFmtId="2" fontId="16" fillId="0" borderId="0" xfId="0" applyNumberFormat="1" applyFont="1"/>
    <xf numFmtId="166" fontId="16" fillId="0" borderId="0" xfId="0" applyNumberFormat="1" applyFont="1" applyAlignment="1">
      <alignment vertical="top"/>
    </xf>
    <xf numFmtId="166" fontId="16" fillId="0" borderId="0" xfId="0" applyNumberFormat="1" applyFont="1"/>
    <xf numFmtId="2" fontId="18" fillId="0" borderId="0" xfId="0" applyNumberFormat="1" applyFont="1"/>
    <xf numFmtId="2" fontId="17" fillId="0" borderId="0" xfId="0" applyNumberFormat="1" applyFont="1"/>
    <xf numFmtId="0" fontId="17" fillId="0" borderId="0" xfId="0" applyFont="1"/>
    <xf numFmtId="2" fontId="19" fillId="0" borderId="0" xfId="0" applyNumberFormat="1" applyFont="1"/>
    <xf numFmtId="0" fontId="21" fillId="0" borderId="0" xfId="0" applyFont="1" applyAlignment="1">
      <alignment horizontal="left" vertical="center"/>
    </xf>
    <xf numFmtId="0" fontId="9" fillId="0" borderId="9" xfId="0" applyFont="1" applyBorder="1" applyAlignment="1">
      <alignment horizontal="center"/>
    </xf>
    <xf numFmtId="0" fontId="8" fillId="0" borderId="12" xfId="0" applyFont="1" applyBorder="1" applyAlignment="1">
      <alignment horizontal="left" vertical="center" wrapText="1"/>
    </xf>
    <xf numFmtId="0" fontId="4" fillId="0" borderId="0" xfId="0" applyFont="1" applyAlignment="1">
      <alignment horizontal="left"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8" fillId="0" borderId="3" xfId="0" applyFont="1" applyBorder="1" applyAlignment="1">
      <alignment horizontal="left" vertical="top" wrapText="1"/>
    </xf>
    <xf numFmtId="0" fontId="8" fillId="0" borderId="12" xfId="0" applyFont="1" applyBorder="1" applyAlignment="1">
      <alignment horizontal="left" vertical="top" wrapText="1"/>
    </xf>
    <xf numFmtId="0" fontId="10" fillId="0" borderId="3" xfId="0" applyFont="1" applyBorder="1" applyAlignment="1">
      <alignment horizontal="center" wrapText="1"/>
    </xf>
    <xf numFmtId="0" fontId="10" fillId="0" borderId="2" xfId="0" applyFont="1" applyBorder="1" applyAlignment="1">
      <alignment horizontal="center" wrapText="1"/>
    </xf>
    <xf numFmtId="0" fontId="10" fillId="0" borderId="12" xfId="0" applyFont="1" applyBorder="1" applyAlignment="1">
      <alignment horizont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0" xfId="0" applyFont="1" applyAlignment="1">
      <alignment horizontal="left" vertical="center" wrapText="1"/>
    </xf>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13" fillId="0" borderId="6" xfId="0" applyFont="1" applyBorder="1" applyAlignment="1">
      <alignment horizontal="center" vertical="top" wrapText="1"/>
    </xf>
    <xf numFmtId="0" fontId="13" fillId="0" borderId="8" xfId="0" applyFont="1" applyBorder="1" applyAlignment="1">
      <alignment horizontal="center" vertical="top" wrapText="1"/>
    </xf>
    <xf numFmtId="0" fontId="13" fillId="0" borderId="7" xfId="0" applyFont="1" applyBorder="1" applyAlignment="1">
      <alignment horizontal="center"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4" fillId="0" borderId="6"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showGridLines="0" zoomScale="145" zoomScaleNormal="145" workbookViewId="0">
      <selection activeCell="P13" sqref="P13"/>
    </sheetView>
  </sheetViews>
  <sheetFormatPr defaultRowHeight="15"/>
  <cols>
    <col min="1" max="1" width="11.28515625" customWidth="1"/>
    <col min="2" max="2" width="11" customWidth="1"/>
    <col min="3" max="3" width="3.5703125" customWidth="1"/>
    <col min="4" max="4" width="7.28515625" style="7" customWidth="1"/>
    <col min="5" max="5" width="12.28515625" customWidth="1"/>
    <col min="6" max="6" width="4.7109375" customWidth="1"/>
    <col min="7" max="7" width="7.28515625" style="1" customWidth="1"/>
    <col min="8" max="8" width="4.7109375" customWidth="1"/>
    <col min="9" max="9" width="7.28515625" customWidth="1"/>
    <col min="16" max="16" width="9.28515625" style="5"/>
  </cols>
  <sheetData>
    <row r="1" spans="1:16">
      <c r="A1" s="178">
        <v>1.0449999999999999</v>
      </c>
      <c r="M1" s="178" t="s">
        <v>195</v>
      </c>
      <c r="P1" s="179" t="s">
        <v>196</v>
      </c>
    </row>
    <row r="2" spans="1:16">
      <c r="M2" s="185" t="s">
        <v>201</v>
      </c>
    </row>
    <row r="3" spans="1:16">
      <c r="A3" s="189" t="s">
        <v>0</v>
      </c>
      <c r="B3" s="189"/>
      <c r="C3" s="189"/>
      <c r="D3" s="189"/>
      <c r="E3" s="189"/>
      <c r="F3" s="189"/>
      <c r="G3" s="189"/>
      <c r="H3" s="189"/>
      <c r="I3" s="189"/>
    </row>
    <row r="4" spans="1:16" ht="24.75" customHeight="1">
      <c r="A4" s="9" t="s">
        <v>1</v>
      </c>
      <c r="B4" s="10" t="s">
        <v>2</v>
      </c>
      <c r="C4" s="10" t="s">
        <v>3</v>
      </c>
      <c r="D4" s="11">
        <f>P4</f>
        <v>134.78</v>
      </c>
      <c r="E4" s="10" t="s">
        <v>4</v>
      </c>
      <c r="F4" s="10" t="s">
        <v>5</v>
      </c>
      <c r="G4" s="10" t="s">
        <v>6</v>
      </c>
      <c r="H4" s="10" t="s">
        <v>3</v>
      </c>
      <c r="I4" s="10" t="s">
        <v>7</v>
      </c>
      <c r="M4" s="178">
        <v>128.97999999999999</v>
      </c>
      <c r="P4" s="5">
        <f>ROUND(M4*A1,2)</f>
        <v>134.78</v>
      </c>
    </row>
    <row r="5" spans="1:16" ht="9.75" customHeight="1">
      <c r="A5" s="9"/>
      <c r="B5" s="10"/>
      <c r="C5" s="10"/>
      <c r="D5" s="11"/>
      <c r="E5" s="10"/>
      <c r="F5" s="10"/>
      <c r="G5" s="10"/>
      <c r="H5" s="10"/>
      <c r="I5" s="10"/>
    </row>
    <row r="6" spans="1:16">
      <c r="A6" s="13" t="s">
        <v>8</v>
      </c>
      <c r="B6" s="13"/>
      <c r="C6" s="13"/>
      <c r="D6" s="13"/>
      <c r="E6" s="13"/>
      <c r="F6" s="13"/>
      <c r="G6" s="13"/>
      <c r="H6" s="13"/>
      <c r="I6" s="13"/>
    </row>
    <row r="7" spans="1:16" ht="25.5" customHeight="1">
      <c r="A7" s="9" t="s">
        <v>1</v>
      </c>
      <c r="B7" s="10" t="s">
        <v>2</v>
      </c>
      <c r="C7" s="10" t="s">
        <v>3</v>
      </c>
      <c r="D7" s="11">
        <f>P7</f>
        <v>134.78</v>
      </c>
      <c r="E7" s="10" t="s">
        <v>4</v>
      </c>
      <c r="F7" s="10" t="s">
        <v>5</v>
      </c>
      <c r="G7" s="10" t="s">
        <v>6</v>
      </c>
      <c r="H7" s="10" t="s">
        <v>9</v>
      </c>
      <c r="I7" s="12"/>
      <c r="M7" s="178">
        <v>128.97999999999999</v>
      </c>
      <c r="P7" s="5">
        <f>ROUND(M7*A1,2)</f>
        <v>134.78</v>
      </c>
    </row>
    <row r="8" spans="1:16" ht="12.75" customHeight="1">
      <c r="A8" s="9"/>
      <c r="B8" s="10"/>
      <c r="C8" s="10"/>
      <c r="D8" s="11"/>
      <c r="E8" s="10"/>
      <c r="F8" s="10"/>
      <c r="G8" s="10"/>
      <c r="H8" s="10"/>
      <c r="I8" s="12"/>
    </row>
    <row r="9" spans="1:16">
      <c r="A9" s="13" t="s">
        <v>10</v>
      </c>
      <c r="B9" s="12"/>
      <c r="C9" s="12"/>
      <c r="D9" s="14"/>
      <c r="E9" s="12"/>
      <c r="F9" s="12"/>
      <c r="G9" s="15"/>
      <c r="H9" s="12"/>
      <c r="I9" s="12"/>
    </row>
    <row r="10" spans="1:16" ht="24.75" customHeight="1">
      <c r="A10" s="16" t="s">
        <v>1</v>
      </c>
      <c r="B10" s="10" t="s">
        <v>2</v>
      </c>
      <c r="C10" s="10" t="s">
        <v>5</v>
      </c>
      <c r="D10" s="11">
        <f>P10</f>
        <v>134.78</v>
      </c>
      <c r="E10" s="10" t="s">
        <v>4</v>
      </c>
      <c r="F10" s="10" t="s">
        <v>5</v>
      </c>
      <c r="G10" s="10" t="s">
        <v>6</v>
      </c>
      <c r="H10" s="10" t="s">
        <v>3</v>
      </c>
      <c r="I10" s="10" t="s">
        <v>11</v>
      </c>
      <c r="M10" s="178">
        <v>128.97999999999999</v>
      </c>
      <c r="P10" s="5">
        <f>ROUND(M10*A1,2)</f>
        <v>134.78</v>
      </c>
    </row>
    <row r="11" spans="1:16" ht="12" customHeight="1">
      <c r="A11" s="16"/>
      <c r="B11" s="10"/>
      <c r="C11" s="10"/>
      <c r="D11" s="11"/>
      <c r="E11" s="10"/>
      <c r="F11" s="10"/>
      <c r="G11" s="10"/>
      <c r="H11" s="10"/>
      <c r="I11" s="10"/>
    </row>
    <row r="12" spans="1:16">
      <c r="A12" s="189" t="s">
        <v>12</v>
      </c>
      <c r="B12" s="189"/>
      <c r="C12" s="189"/>
      <c r="D12" s="189"/>
      <c r="E12" s="189"/>
      <c r="F12" s="189"/>
      <c r="G12" s="189"/>
      <c r="H12" s="189"/>
      <c r="I12" s="189"/>
      <c r="J12" s="189"/>
      <c r="K12" s="189"/>
      <c r="L12" s="189"/>
    </row>
    <row r="13" spans="1:16" ht="24.75">
      <c r="A13" s="9" t="s">
        <v>1</v>
      </c>
      <c r="B13" s="10" t="s">
        <v>2</v>
      </c>
      <c r="C13" s="10" t="s">
        <v>3</v>
      </c>
      <c r="D13" s="157">
        <f>P13</f>
        <v>0.28699999999999998</v>
      </c>
      <c r="E13" s="17" t="s">
        <v>13</v>
      </c>
      <c r="F13" s="17"/>
      <c r="G13" s="17"/>
      <c r="H13" s="18"/>
      <c r="I13" s="18"/>
      <c r="M13" s="178">
        <v>0.27500000000000002</v>
      </c>
      <c r="P13" s="156">
        <f>ROUND(M13*A1,3)</f>
        <v>0.28699999999999998</v>
      </c>
    </row>
    <row r="14" spans="1:16">
      <c r="A14" s="2"/>
      <c r="B14" s="2"/>
      <c r="C14" s="2"/>
      <c r="D14" s="8"/>
      <c r="E14" s="2"/>
      <c r="F14" s="2"/>
      <c r="G14" s="3"/>
      <c r="H14" s="2"/>
      <c r="I14" s="2"/>
    </row>
  </sheetData>
  <mergeCells count="2">
    <mergeCell ref="A3:I3"/>
    <mergeCell ref="A12:L1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2"/>
  <sheetViews>
    <sheetView showGridLines="0" tabSelected="1" zoomScale="145" zoomScaleNormal="145" workbookViewId="0">
      <pane ySplit="1" topLeftCell="A11" activePane="bottomLeft" state="frozen"/>
      <selection pane="bottomLeft" activeCell="K1" sqref="K1:K1048576"/>
    </sheetView>
  </sheetViews>
  <sheetFormatPr defaultRowHeight="15"/>
  <cols>
    <col min="1" max="1" width="6.28515625" customWidth="1"/>
    <col min="2" max="2" width="24.28515625" customWidth="1"/>
    <col min="3" max="3" width="6.5703125" style="1" customWidth="1"/>
    <col min="4" max="4" width="7.28515625" style="1" customWidth="1"/>
    <col min="5" max="5" width="8.28515625" style="1" customWidth="1"/>
    <col min="6" max="6" width="9.7109375" style="1" customWidth="1"/>
    <col min="7" max="7" width="6" style="1" customWidth="1"/>
    <col min="8" max="8" width="6.7109375" style="1" customWidth="1"/>
    <col min="9" max="9" width="5.7109375" customWidth="1"/>
    <col min="10" max="10" width="1.7109375" bestFit="1" customWidth="1"/>
    <col min="12" max="12" width="11.28515625" style="5" customWidth="1"/>
    <col min="13" max="13" width="17" style="168" customWidth="1"/>
    <col min="14" max="14" width="12.7109375" style="5" bestFit="1" customWidth="1"/>
    <col min="19" max="19" width="11.28515625" style="6" bestFit="1" customWidth="1"/>
    <col min="20" max="20" width="1.7109375" style="6" bestFit="1" customWidth="1"/>
    <col min="21" max="21" width="32.7109375" style="21" bestFit="1" customWidth="1"/>
    <col min="22" max="22" width="9.28515625" style="5"/>
  </cols>
  <sheetData>
    <row r="1" spans="1:22">
      <c r="A1" s="178">
        <v>1.0449999999999999</v>
      </c>
      <c r="L1" s="5" t="s">
        <v>14</v>
      </c>
      <c r="M1" s="168" t="s">
        <v>15</v>
      </c>
      <c r="N1" s="5" t="s">
        <v>16</v>
      </c>
      <c r="O1" s="5" t="s">
        <v>17</v>
      </c>
      <c r="P1" s="5" t="s">
        <v>18</v>
      </c>
      <c r="Q1" s="5" t="s">
        <v>19</v>
      </c>
      <c r="R1" s="5" t="s">
        <v>20</v>
      </c>
      <c r="S1" s="6" t="s">
        <v>28</v>
      </c>
      <c r="U1" s="21" t="s">
        <v>190</v>
      </c>
    </row>
    <row r="3" spans="1:22" ht="40.5">
      <c r="A3" s="190" t="s">
        <v>21</v>
      </c>
      <c r="B3" s="191"/>
      <c r="C3" s="69" t="s">
        <v>22</v>
      </c>
      <c r="D3" s="69" t="s">
        <v>23</v>
      </c>
      <c r="E3" s="69" t="s">
        <v>24</v>
      </c>
      <c r="F3" s="69" t="s">
        <v>25</v>
      </c>
      <c r="G3" s="69" t="s">
        <v>26</v>
      </c>
      <c r="H3" s="69" t="s">
        <v>27</v>
      </c>
      <c r="I3" s="198" t="s">
        <v>28</v>
      </c>
      <c r="J3" s="200"/>
      <c r="L3" s="185" t="s">
        <v>201</v>
      </c>
    </row>
    <row r="4" spans="1:22" ht="15" customHeight="1">
      <c r="A4" s="192" t="s">
        <v>29</v>
      </c>
      <c r="B4" s="193"/>
      <c r="C4" s="193"/>
      <c r="D4" s="193"/>
      <c r="E4" s="193"/>
      <c r="F4" s="193"/>
      <c r="G4" s="193"/>
      <c r="H4" s="193"/>
      <c r="I4" s="193"/>
      <c r="J4" s="154"/>
    </row>
    <row r="5" spans="1:22" ht="15" customHeight="1">
      <c r="A5" s="194" t="s">
        <v>30</v>
      </c>
      <c r="B5" s="195"/>
      <c r="C5" s="195"/>
      <c r="D5" s="195"/>
      <c r="E5" s="195"/>
      <c r="F5" s="195"/>
      <c r="G5" s="195"/>
      <c r="H5" s="195"/>
      <c r="I5" s="195"/>
      <c r="J5" s="155"/>
    </row>
    <row r="6" spans="1:22">
      <c r="A6" s="52">
        <v>1</v>
      </c>
      <c r="B6" s="39" t="s">
        <v>31</v>
      </c>
      <c r="C6" s="52" t="s">
        <v>32</v>
      </c>
      <c r="D6" s="54">
        <f>M6*A1</f>
        <v>369.12534999999997</v>
      </c>
      <c r="E6" s="54">
        <f>O6*A1</f>
        <v>369.12534999999997</v>
      </c>
      <c r="F6" s="52" t="s">
        <v>32</v>
      </c>
      <c r="G6" s="54">
        <f>ROUND(Q6*A1,2)</f>
        <v>54.82</v>
      </c>
      <c r="H6" s="54">
        <f>R6*A1</f>
        <v>138.88049999999998</v>
      </c>
      <c r="I6" s="48">
        <f>ROUND(S6*A1,2)</f>
        <v>138.88</v>
      </c>
      <c r="J6" s="49" t="s">
        <v>33</v>
      </c>
      <c r="K6" s="5"/>
      <c r="L6" s="19"/>
      <c r="M6" s="171">
        <v>353.23</v>
      </c>
      <c r="N6" s="25"/>
      <c r="O6" s="173">
        <v>353.23</v>
      </c>
      <c r="P6" s="4"/>
      <c r="Q6" s="173">
        <v>52.46</v>
      </c>
      <c r="R6" s="173">
        <v>132.9</v>
      </c>
      <c r="S6" s="175">
        <v>132.9</v>
      </c>
      <c r="T6" s="27" t="s">
        <v>33</v>
      </c>
      <c r="U6" s="174" t="s">
        <v>189</v>
      </c>
    </row>
    <row r="7" spans="1:22" ht="38.25">
      <c r="A7" s="41">
        <v>2</v>
      </c>
      <c r="B7" s="40" t="s">
        <v>34</v>
      </c>
      <c r="C7" s="41" t="s">
        <v>32</v>
      </c>
      <c r="D7" s="42">
        <f>M7*A1</f>
        <v>369.12534999999997</v>
      </c>
      <c r="E7" s="42">
        <f>O7*A1</f>
        <v>369.12534999999997</v>
      </c>
      <c r="F7" s="41" t="s">
        <v>32</v>
      </c>
      <c r="G7" s="54">
        <f>ROUND(Q7*A1,2)</f>
        <v>54.82</v>
      </c>
      <c r="H7" s="42">
        <f>R7*A1</f>
        <v>138.88049999999998</v>
      </c>
      <c r="I7" s="43">
        <f>ROUND(S7*A1,2)</f>
        <v>138.88</v>
      </c>
      <c r="J7" s="44" t="s">
        <v>33</v>
      </c>
      <c r="K7" s="5"/>
      <c r="L7" s="19"/>
      <c r="M7" s="171">
        <v>353.23</v>
      </c>
      <c r="N7" s="25"/>
      <c r="O7" s="173">
        <v>353.23</v>
      </c>
      <c r="P7" s="4"/>
      <c r="Q7" s="173">
        <v>52.46</v>
      </c>
      <c r="R7" s="173">
        <v>132.9</v>
      </c>
      <c r="S7" s="176">
        <v>132.9</v>
      </c>
      <c r="T7" s="27" t="s">
        <v>33</v>
      </c>
      <c r="U7" s="174" t="s">
        <v>189</v>
      </c>
    </row>
    <row r="8" spans="1:22" ht="25.5">
      <c r="A8" s="47">
        <v>3</v>
      </c>
      <c r="B8" s="45" t="s">
        <v>35</v>
      </c>
      <c r="C8" s="46">
        <f>L8*A1</f>
        <v>321.60919999999999</v>
      </c>
      <c r="D8" s="46">
        <f>M8*A1</f>
        <v>369.12534999999997</v>
      </c>
      <c r="E8" s="47" t="s">
        <v>32</v>
      </c>
      <c r="F8" s="47" t="s">
        <v>32</v>
      </c>
      <c r="G8" s="54">
        <f>ROUND(Q8*A1,2)</f>
        <v>54.82</v>
      </c>
      <c r="H8" s="46">
        <f>R8*A1</f>
        <v>138.88049999999998</v>
      </c>
      <c r="I8" s="43">
        <f>ROUND(S8*A1,2)</f>
        <v>138.88</v>
      </c>
      <c r="J8" s="49" t="s">
        <v>33</v>
      </c>
      <c r="K8" s="5"/>
      <c r="L8" s="172">
        <v>307.76</v>
      </c>
      <c r="M8" s="171">
        <v>353.23</v>
      </c>
      <c r="N8" s="25"/>
      <c r="O8" s="4"/>
      <c r="P8" s="4"/>
      <c r="Q8" s="173">
        <v>52.46</v>
      </c>
      <c r="R8" s="173">
        <v>132.9</v>
      </c>
      <c r="S8" s="176">
        <v>132.9</v>
      </c>
      <c r="T8" s="27" t="s">
        <v>33</v>
      </c>
      <c r="U8" s="174" t="s">
        <v>189</v>
      </c>
      <c r="V8" s="31"/>
    </row>
    <row r="9" spans="1:22">
      <c r="A9" s="76">
        <v>4</v>
      </c>
      <c r="B9" s="50" t="s">
        <v>36</v>
      </c>
      <c r="C9" s="46">
        <f>L9*A1</f>
        <v>125.4836</v>
      </c>
      <c r="D9" s="46">
        <f>M9*A1</f>
        <v>248.52189999999999</v>
      </c>
      <c r="E9" s="59">
        <f>O9*A1</f>
        <v>248.52189999999999</v>
      </c>
      <c r="F9" s="47" t="s">
        <v>32</v>
      </c>
      <c r="G9" s="46">
        <f>ROUND(Q9*A1,2)</f>
        <v>54.82</v>
      </c>
      <c r="H9" s="46">
        <f>R9*A1</f>
        <v>138.88049999999998</v>
      </c>
      <c r="I9" s="160">
        <f>ROUND(S9*A1,2)</f>
        <v>138.88</v>
      </c>
      <c r="J9" s="61" t="s">
        <v>33</v>
      </c>
      <c r="K9" s="5"/>
      <c r="L9" s="172">
        <v>120.08</v>
      </c>
      <c r="M9" s="171">
        <v>237.82</v>
      </c>
      <c r="N9" s="25"/>
      <c r="O9" s="173">
        <v>237.82</v>
      </c>
      <c r="P9" s="4"/>
      <c r="Q9" s="173">
        <v>52.46</v>
      </c>
      <c r="R9" s="173">
        <v>132.9</v>
      </c>
      <c r="S9" s="176">
        <v>132.9</v>
      </c>
      <c r="T9" s="27" t="s">
        <v>33</v>
      </c>
      <c r="U9" s="174" t="s">
        <v>189</v>
      </c>
    </row>
    <row r="10" spans="1:22" ht="39" customHeight="1">
      <c r="A10" s="88"/>
      <c r="B10" s="51" t="s">
        <v>37</v>
      </c>
      <c r="C10" s="52" t="s">
        <v>38</v>
      </c>
      <c r="D10" s="54"/>
      <c r="E10" s="53"/>
      <c r="F10" s="52"/>
      <c r="G10" s="53"/>
      <c r="H10" s="54"/>
      <c r="I10" s="55"/>
      <c r="J10" s="56"/>
      <c r="K10" s="5"/>
      <c r="L10" s="19"/>
      <c r="M10" s="171">
        <v>237.82</v>
      </c>
      <c r="N10" s="25"/>
      <c r="O10" s="4"/>
      <c r="P10" s="4"/>
      <c r="Q10" s="4"/>
      <c r="R10" s="4"/>
      <c r="S10" s="20"/>
      <c r="T10" s="28"/>
    </row>
    <row r="11" spans="1:22">
      <c r="A11" s="87">
        <v>5</v>
      </c>
      <c r="B11" s="57" t="s">
        <v>39</v>
      </c>
      <c r="C11" s="58">
        <f>L11*A1</f>
        <v>248.52189999999999</v>
      </c>
      <c r="D11" s="58">
        <f>C11+G11</f>
        <v>303.34190000000001</v>
      </c>
      <c r="E11" s="87" t="s">
        <v>32</v>
      </c>
      <c r="F11" s="87" t="s">
        <v>32</v>
      </c>
      <c r="G11" s="46">
        <f>ROUND(Q11*A1,2)</f>
        <v>54.82</v>
      </c>
      <c r="H11" s="58">
        <f>R11*A1</f>
        <v>138.88049999999998</v>
      </c>
      <c r="I11" s="43">
        <f>ROUND(S11*A1,2)</f>
        <v>138.88</v>
      </c>
      <c r="J11" s="44" t="s">
        <v>33</v>
      </c>
      <c r="K11" s="5"/>
      <c r="L11" s="172">
        <v>237.82</v>
      </c>
      <c r="M11" s="170" t="s">
        <v>188</v>
      </c>
      <c r="N11" s="25"/>
      <c r="O11" s="4"/>
      <c r="P11" s="4"/>
      <c r="Q11" s="173">
        <v>52.46</v>
      </c>
      <c r="R11" s="173">
        <v>132.9</v>
      </c>
      <c r="S11" s="175">
        <v>132.9</v>
      </c>
      <c r="T11" s="27" t="s">
        <v>33</v>
      </c>
      <c r="U11" s="174" t="s">
        <v>189</v>
      </c>
    </row>
    <row r="12" spans="1:22" ht="25.5" customHeight="1">
      <c r="A12" s="76">
        <v>6</v>
      </c>
      <c r="B12" s="45" t="s">
        <v>40</v>
      </c>
      <c r="C12" s="59">
        <f>ROUND(L12*A1,2)</f>
        <v>92.58</v>
      </c>
      <c r="D12" s="46">
        <f>C12+G12</f>
        <v>123.03</v>
      </c>
      <c r="E12" s="60" t="s">
        <v>41</v>
      </c>
      <c r="F12" s="61" t="s">
        <v>41</v>
      </c>
      <c r="G12" s="46">
        <f>ROUND(Q12*A1,2)</f>
        <v>30.45</v>
      </c>
      <c r="H12" s="61" t="s">
        <v>41</v>
      </c>
      <c r="I12" s="62"/>
      <c r="J12" s="63" t="s">
        <v>41</v>
      </c>
      <c r="K12" s="5"/>
      <c r="L12" s="172">
        <v>88.59</v>
      </c>
      <c r="M12" s="170" t="s">
        <v>188</v>
      </c>
      <c r="N12" s="25"/>
      <c r="O12" s="4"/>
      <c r="P12" s="4"/>
      <c r="Q12" s="173">
        <v>29.14</v>
      </c>
      <c r="R12" s="4"/>
      <c r="S12" s="20"/>
      <c r="T12" s="28"/>
    </row>
    <row r="13" spans="1:22">
      <c r="A13" s="88"/>
      <c r="B13" s="39" t="s">
        <v>42</v>
      </c>
      <c r="C13" s="53">
        <f>L13*A1</f>
        <v>175.43459999999999</v>
      </c>
      <c r="D13" s="58">
        <f>C13+G13</f>
        <v>205.88459999999998</v>
      </c>
      <c r="E13" s="161" t="s">
        <v>41</v>
      </c>
      <c r="F13" s="56" t="s">
        <v>32</v>
      </c>
      <c r="G13" s="54">
        <f>ROUND(Q13*A1,2)</f>
        <v>30.45</v>
      </c>
      <c r="H13" s="56" t="s">
        <v>32</v>
      </c>
      <c r="I13" s="162"/>
      <c r="J13" s="64" t="s">
        <v>41</v>
      </c>
      <c r="K13" s="5"/>
      <c r="L13" s="172">
        <v>167.88</v>
      </c>
      <c r="M13" s="170" t="s">
        <v>188</v>
      </c>
      <c r="N13" s="25"/>
      <c r="O13" s="4"/>
      <c r="P13" s="4"/>
      <c r="Q13" s="173">
        <v>29.14</v>
      </c>
      <c r="R13" s="4"/>
      <c r="S13" s="20"/>
      <c r="T13" s="28"/>
    </row>
    <row r="14" spans="1:22" ht="25.5">
      <c r="A14" s="52">
        <v>7</v>
      </c>
      <c r="B14" s="39" t="s">
        <v>43</v>
      </c>
      <c r="C14" s="46">
        <f>ROUND(L14*A1,2)</f>
        <v>187.61</v>
      </c>
      <c r="D14" s="42">
        <f>C14+G14</f>
        <v>242.43</v>
      </c>
      <c r="E14" s="52" t="s">
        <v>32</v>
      </c>
      <c r="F14" s="52" t="s">
        <v>32</v>
      </c>
      <c r="G14" s="42">
        <f>ROUND(Q14*A1,2)</f>
        <v>54.82</v>
      </c>
      <c r="H14" s="42">
        <f>R14*A1</f>
        <v>138.88049999999998</v>
      </c>
      <c r="I14" s="48">
        <f>ROUND(S14*A1,2)</f>
        <v>138.88</v>
      </c>
      <c r="J14" s="49" t="s">
        <v>33</v>
      </c>
      <c r="K14" s="5"/>
      <c r="L14" s="172">
        <v>179.53</v>
      </c>
      <c r="M14" s="170" t="s">
        <v>188</v>
      </c>
      <c r="N14" s="25"/>
      <c r="O14" s="4"/>
      <c r="P14" s="4"/>
      <c r="Q14" s="173">
        <v>52.46</v>
      </c>
      <c r="R14" s="173">
        <v>132.9</v>
      </c>
      <c r="S14" s="176">
        <v>132.9</v>
      </c>
      <c r="T14" s="27" t="s">
        <v>33</v>
      </c>
      <c r="U14" s="174" t="s">
        <v>189</v>
      </c>
    </row>
    <row r="15" spans="1:22">
      <c r="A15" s="41">
        <v>8</v>
      </c>
      <c r="B15" s="40" t="s">
        <v>44</v>
      </c>
      <c r="C15" s="46">
        <f>ROUND(L15*A1,2)</f>
        <v>248.52</v>
      </c>
      <c r="D15" s="42">
        <f>C15+G15</f>
        <v>278.97000000000003</v>
      </c>
      <c r="E15" s="41" t="s">
        <v>32</v>
      </c>
      <c r="F15" s="41" t="s">
        <v>32</v>
      </c>
      <c r="G15" s="42">
        <f>ROUND(Q15*A1,2)</f>
        <v>30.45</v>
      </c>
      <c r="H15" s="70" t="s">
        <v>41</v>
      </c>
      <c r="I15" s="163"/>
      <c r="J15" s="164" t="s">
        <v>41</v>
      </c>
      <c r="K15" s="5"/>
      <c r="L15" s="172">
        <v>237.82</v>
      </c>
      <c r="M15" s="170" t="s">
        <v>188</v>
      </c>
      <c r="N15" s="25"/>
      <c r="O15" s="4"/>
      <c r="P15" s="4"/>
      <c r="Q15" s="173">
        <v>29.14</v>
      </c>
      <c r="R15" s="4"/>
      <c r="S15" s="20"/>
      <c r="T15" s="28"/>
    </row>
    <row r="16" spans="1:22">
      <c r="A16" s="47">
        <v>9</v>
      </c>
      <c r="B16" s="65" t="s">
        <v>45</v>
      </c>
      <c r="C16" s="46">
        <f>ROUND(L16*A1,2)</f>
        <v>248.52</v>
      </c>
      <c r="D16" s="42">
        <f>C16+G16</f>
        <v>278.97000000000003</v>
      </c>
      <c r="E16" s="47" t="s">
        <v>32</v>
      </c>
      <c r="F16" s="47" t="s">
        <v>32</v>
      </c>
      <c r="G16" s="46">
        <f>ROUND(Q16*A1,2)</f>
        <v>30.45</v>
      </c>
      <c r="H16" s="76" t="s">
        <v>41</v>
      </c>
      <c r="I16" s="163"/>
      <c r="J16" s="164" t="s">
        <v>41</v>
      </c>
      <c r="K16" s="5"/>
      <c r="L16" s="172">
        <v>237.82</v>
      </c>
      <c r="M16" s="170" t="s">
        <v>188</v>
      </c>
      <c r="N16" s="25"/>
      <c r="O16" s="4"/>
      <c r="P16" s="4"/>
      <c r="Q16" s="173">
        <v>29.14</v>
      </c>
      <c r="R16" s="4"/>
      <c r="S16" s="20"/>
      <c r="T16" s="28"/>
    </row>
    <row r="17" spans="1:21">
      <c r="A17" s="76">
        <v>10</v>
      </c>
      <c r="B17" s="66" t="s">
        <v>46</v>
      </c>
      <c r="C17" s="46"/>
      <c r="D17" s="59"/>
      <c r="E17" s="61"/>
      <c r="F17" s="47"/>
      <c r="G17" s="59"/>
      <c r="H17" s="47"/>
      <c r="I17" s="165"/>
      <c r="J17" s="49"/>
      <c r="K17" s="5"/>
      <c r="L17" s="19"/>
      <c r="M17" s="169"/>
      <c r="N17" s="25"/>
      <c r="O17" s="4"/>
      <c r="P17" s="4"/>
      <c r="Q17" s="4"/>
      <c r="R17" s="4"/>
      <c r="S17" s="20"/>
      <c r="T17" s="28"/>
    </row>
    <row r="18" spans="1:21" ht="15" customHeight="1">
      <c r="A18" s="187"/>
      <c r="B18" s="67" t="s">
        <v>47</v>
      </c>
      <c r="C18" s="58">
        <f>ROUND(L18*A1,2)</f>
        <v>151.05000000000001</v>
      </c>
      <c r="D18" s="84">
        <f>C18+G18</f>
        <v>205.87</v>
      </c>
      <c r="E18" s="49" t="s">
        <v>32</v>
      </c>
      <c r="F18" s="87" t="s">
        <v>32</v>
      </c>
      <c r="G18" s="84">
        <f>ROUND(Q18*A1,2)</f>
        <v>54.82</v>
      </c>
      <c r="H18" s="58">
        <f>R18*A1</f>
        <v>138.88049999999998</v>
      </c>
      <c r="I18" s="158">
        <f>ROUND(S18*A1,2)</f>
        <v>138.88</v>
      </c>
      <c r="J18" s="49" t="s">
        <v>33</v>
      </c>
      <c r="K18" s="5"/>
      <c r="L18" s="172">
        <v>144.55000000000001</v>
      </c>
      <c r="M18" s="170" t="s">
        <v>188</v>
      </c>
      <c r="N18" s="25"/>
      <c r="O18" s="4"/>
      <c r="P18" s="4"/>
      <c r="Q18" s="173">
        <v>52.46</v>
      </c>
      <c r="R18" s="173">
        <v>132.9</v>
      </c>
      <c r="S18" s="175">
        <v>132.9</v>
      </c>
      <c r="T18" s="27" t="s">
        <v>33</v>
      </c>
      <c r="U18" s="174" t="s">
        <v>189</v>
      </c>
    </row>
    <row r="19" spans="1:21">
      <c r="A19" s="88"/>
      <c r="B19" s="68" t="s">
        <v>48</v>
      </c>
      <c r="C19" s="54">
        <f>L19*A1</f>
        <v>369.12534999999997</v>
      </c>
      <c r="D19" s="84">
        <f>C19+G19</f>
        <v>423.94534999999996</v>
      </c>
      <c r="E19" s="56" t="s">
        <v>32</v>
      </c>
      <c r="F19" s="52" t="s">
        <v>32</v>
      </c>
      <c r="G19" s="53">
        <f>ROUND(Q19*A1,2)</f>
        <v>54.82</v>
      </c>
      <c r="H19" s="58">
        <f>R19*A1</f>
        <v>138.88049999999998</v>
      </c>
      <c r="I19" s="158">
        <f>ROUND(S19*A1,2)</f>
        <v>138.88</v>
      </c>
      <c r="J19" s="49" t="s">
        <v>33</v>
      </c>
      <c r="K19" s="5"/>
      <c r="L19" s="172">
        <v>353.23</v>
      </c>
      <c r="M19" s="170" t="s">
        <v>188</v>
      </c>
      <c r="N19" s="25"/>
      <c r="O19" s="4"/>
      <c r="P19" s="4"/>
      <c r="Q19" s="173">
        <v>52.46</v>
      </c>
      <c r="R19" s="173">
        <v>132.9</v>
      </c>
      <c r="S19" s="175">
        <v>132.9</v>
      </c>
      <c r="T19" s="28"/>
      <c r="U19" s="174" t="s">
        <v>189</v>
      </c>
    </row>
    <row r="20" spans="1:21">
      <c r="A20" s="52">
        <v>11</v>
      </c>
      <c r="B20" s="39" t="s">
        <v>49</v>
      </c>
      <c r="C20" s="58" t="str">
        <f>CONCATENATE("$",ROUND(L20*A1,2),"/lf")</f>
        <v>$4.18/lf</v>
      </c>
      <c r="D20" s="42">
        <f>M20*A1</f>
        <v>125.4836</v>
      </c>
      <c r="E20" s="54">
        <f>O20*A1</f>
        <v>125.4836</v>
      </c>
      <c r="F20" s="52" t="s">
        <v>32</v>
      </c>
      <c r="G20" s="159">
        <f>ROUND(Q20*A1,2)</f>
        <v>30.45</v>
      </c>
      <c r="H20" s="47" t="s">
        <v>32</v>
      </c>
      <c r="I20" s="160">
        <f>ROUND(S20*A1,2)</f>
        <v>138.88</v>
      </c>
      <c r="J20" s="61" t="s">
        <v>33</v>
      </c>
      <c r="K20" s="5"/>
      <c r="L20" s="172">
        <v>4</v>
      </c>
      <c r="M20" s="171">
        <v>120.08</v>
      </c>
      <c r="N20" s="25"/>
      <c r="O20" s="173">
        <v>120.08</v>
      </c>
      <c r="P20" s="4"/>
      <c r="Q20" s="173">
        <v>29.14</v>
      </c>
      <c r="R20" s="4"/>
      <c r="S20" s="175">
        <v>132.9</v>
      </c>
      <c r="T20" s="27" t="s">
        <v>33</v>
      </c>
      <c r="U20" s="174" t="s">
        <v>189</v>
      </c>
    </row>
    <row r="21" spans="1:21">
      <c r="A21" s="41">
        <v>12</v>
      </c>
      <c r="B21" s="40" t="s">
        <v>50</v>
      </c>
      <c r="C21" s="46">
        <f>ROUND(L21*A1,2)</f>
        <v>125.48</v>
      </c>
      <c r="D21" s="42">
        <f>C21+G21</f>
        <v>155.93</v>
      </c>
      <c r="E21" s="41" t="s">
        <v>32</v>
      </c>
      <c r="F21" s="41" t="s">
        <v>32</v>
      </c>
      <c r="G21" s="166">
        <f>ROUND(Q21*A1,2)</f>
        <v>30.45</v>
      </c>
      <c r="H21" s="41" t="s">
        <v>32</v>
      </c>
      <c r="I21" s="167">
        <f>ROUND(S21*A1,2)</f>
        <v>138.88</v>
      </c>
      <c r="J21" s="44" t="s">
        <v>33</v>
      </c>
      <c r="K21" s="5"/>
      <c r="L21" s="172">
        <v>120.08</v>
      </c>
      <c r="M21" s="170" t="s">
        <v>188</v>
      </c>
      <c r="N21" s="25"/>
      <c r="O21" s="4"/>
      <c r="P21" s="4"/>
      <c r="Q21" s="173">
        <v>29.14</v>
      </c>
      <c r="R21" s="4"/>
      <c r="S21" s="175">
        <v>132.9</v>
      </c>
      <c r="T21" s="27" t="s">
        <v>33</v>
      </c>
      <c r="U21" s="174" t="s">
        <v>189</v>
      </c>
    </row>
    <row r="22" spans="1:21" ht="15" customHeight="1">
      <c r="A22" s="41">
        <v>13</v>
      </c>
      <c r="B22" s="40" t="s">
        <v>51</v>
      </c>
      <c r="C22" s="196" t="str">
        <f>CONCATENATE("$",ROUND(L22*A1,2),"/1000 sf TOTAL")</f>
        <v>$41.81/1000 sf TOTAL</v>
      </c>
      <c r="D22" s="197"/>
      <c r="E22" s="42">
        <f>O22*A1</f>
        <v>80.391850000000005</v>
      </c>
      <c r="F22" s="41" t="s">
        <v>32</v>
      </c>
      <c r="G22" s="166">
        <f>ROUND(Q22*A1,2)</f>
        <v>30.45</v>
      </c>
      <c r="H22" s="87" t="s">
        <v>32</v>
      </c>
      <c r="I22" s="165"/>
      <c r="J22" s="165" t="s">
        <v>32</v>
      </c>
      <c r="K22" s="5"/>
      <c r="L22" s="172">
        <v>40.01</v>
      </c>
      <c r="M22" s="169"/>
      <c r="N22" s="25"/>
      <c r="O22" s="173">
        <v>76.930000000000007</v>
      </c>
      <c r="P22" s="4"/>
      <c r="Q22" s="173">
        <v>29.14</v>
      </c>
      <c r="R22" s="4"/>
      <c r="S22" s="21"/>
      <c r="T22" s="29"/>
    </row>
    <row r="23" spans="1:21">
      <c r="A23" s="41">
        <v>14</v>
      </c>
      <c r="B23" s="40" t="s">
        <v>52</v>
      </c>
      <c r="C23" s="42">
        <f>ROUND(L23*A1,2)</f>
        <v>125.48</v>
      </c>
      <c r="D23" s="42">
        <f>C23+G23</f>
        <v>155.93</v>
      </c>
      <c r="E23" s="41" t="s">
        <v>32</v>
      </c>
      <c r="F23" s="41" t="s">
        <v>32</v>
      </c>
      <c r="G23" s="166">
        <f>ROUND(Q23*A1,2)</f>
        <v>30.45</v>
      </c>
      <c r="H23" s="41" t="s">
        <v>32</v>
      </c>
      <c r="I23" s="164"/>
      <c r="J23" s="164" t="s">
        <v>32</v>
      </c>
      <c r="K23" s="5"/>
      <c r="L23" s="172">
        <v>120.08</v>
      </c>
      <c r="M23" s="170" t="s">
        <v>188</v>
      </c>
      <c r="N23" s="25"/>
      <c r="O23" s="4"/>
      <c r="P23" s="4"/>
      <c r="Q23" s="173">
        <v>29.14</v>
      </c>
      <c r="R23" s="4"/>
      <c r="S23" s="21"/>
      <c r="T23" s="21"/>
    </row>
    <row r="24" spans="1:21">
      <c r="L24" s="19"/>
      <c r="M24" s="169"/>
      <c r="N24" s="19"/>
      <c r="O24" s="4"/>
      <c r="P24" s="4"/>
      <c r="Q24" s="4"/>
      <c r="R24" s="4"/>
      <c r="S24" s="21"/>
      <c r="T24" s="21"/>
    </row>
    <row r="25" spans="1:21" ht="40.5">
      <c r="A25" s="198" t="s">
        <v>21</v>
      </c>
      <c r="B25" s="199"/>
      <c r="C25" s="132" t="s">
        <v>22</v>
      </c>
      <c r="D25" s="132" t="s">
        <v>23</v>
      </c>
      <c r="E25" s="132" t="s">
        <v>24</v>
      </c>
      <c r="F25" s="132" t="s">
        <v>25</v>
      </c>
      <c r="G25" s="132" t="s">
        <v>26</v>
      </c>
      <c r="H25" s="132" t="s">
        <v>27</v>
      </c>
      <c r="I25" s="198" t="s">
        <v>28</v>
      </c>
      <c r="J25" s="200"/>
      <c r="L25" s="19"/>
      <c r="M25" s="169"/>
      <c r="N25" s="19"/>
      <c r="O25" s="4"/>
      <c r="P25" s="4"/>
      <c r="Q25" s="4"/>
      <c r="R25" s="4"/>
      <c r="S25" s="21"/>
      <c r="T25" s="21"/>
    </row>
    <row r="26" spans="1:21">
      <c r="A26" s="201" t="s">
        <v>53</v>
      </c>
      <c r="B26" s="202"/>
      <c r="C26" s="202"/>
      <c r="D26" s="202"/>
      <c r="E26" s="202"/>
      <c r="F26" s="202"/>
      <c r="G26" s="202"/>
      <c r="H26" s="202"/>
      <c r="I26" s="203"/>
      <c r="J26" s="151"/>
      <c r="L26" s="19"/>
      <c r="N26" s="19"/>
      <c r="O26" s="4"/>
      <c r="P26" s="4"/>
      <c r="Q26" s="4"/>
      <c r="R26" s="4"/>
      <c r="S26" s="21"/>
      <c r="T26" s="21"/>
    </row>
    <row r="27" spans="1:21">
      <c r="A27" s="70">
        <v>1</v>
      </c>
      <c r="B27" s="40" t="s">
        <v>54</v>
      </c>
      <c r="C27" s="71" t="s">
        <v>32</v>
      </c>
      <c r="D27" s="72">
        <f>M27*A1</f>
        <v>612.76709999999991</v>
      </c>
      <c r="E27" s="72">
        <f>O27*A1</f>
        <v>612.76709999999991</v>
      </c>
      <c r="F27" s="71">
        <v>1.9E-3</v>
      </c>
      <c r="G27" s="72">
        <f>ROUND(Q27*A1,2)</f>
        <v>177.87</v>
      </c>
      <c r="H27" s="73">
        <f>R27*A1</f>
        <v>277.75054999999998</v>
      </c>
      <c r="I27" s="74">
        <f>S27*A1</f>
        <v>277.75054999999998</v>
      </c>
      <c r="J27" s="71" t="s">
        <v>33</v>
      </c>
      <c r="L27" s="19"/>
      <c r="M27" s="171">
        <v>586.38</v>
      </c>
      <c r="N27" s="25"/>
      <c r="O27" s="173">
        <v>586.38</v>
      </c>
      <c r="P27" s="4">
        <v>1.9E-3</v>
      </c>
      <c r="Q27" s="173">
        <v>170.21</v>
      </c>
      <c r="R27" s="173">
        <v>265.79000000000002</v>
      </c>
      <c r="S27" s="176">
        <v>265.79000000000002</v>
      </c>
      <c r="T27" s="27" t="s">
        <v>33</v>
      </c>
      <c r="U27" s="174" t="s">
        <v>193</v>
      </c>
    </row>
    <row r="28" spans="1:21">
      <c r="A28" s="70">
        <v>2</v>
      </c>
      <c r="B28" s="40" t="s">
        <v>55</v>
      </c>
      <c r="C28" s="71" t="s">
        <v>32</v>
      </c>
      <c r="D28" s="72">
        <f>M28*A1</f>
        <v>612.76709999999991</v>
      </c>
      <c r="E28" s="72">
        <f>O28*A1</f>
        <v>612.76709999999991</v>
      </c>
      <c r="F28" s="71">
        <v>1.9E-3</v>
      </c>
      <c r="G28" s="72">
        <f>ROUND(Q28*A1,2)</f>
        <v>177.87</v>
      </c>
      <c r="H28" s="73">
        <f>R28*A1</f>
        <v>277.75054999999998</v>
      </c>
      <c r="I28" s="74">
        <f>S28*A1</f>
        <v>277.75054999999998</v>
      </c>
      <c r="J28" s="71" t="s">
        <v>33</v>
      </c>
      <c r="L28" s="19"/>
      <c r="M28" s="171">
        <v>586.38</v>
      </c>
      <c r="N28" s="25"/>
      <c r="O28" s="173">
        <v>586.38</v>
      </c>
      <c r="P28" s="4">
        <v>1.9E-3</v>
      </c>
      <c r="Q28" s="173">
        <v>170.21</v>
      </c>
      <c r="R28" s="173">
        <v>265.79000000000002</v>
      </c>
      <c r="S28" s="176">
        <v>265.79000000000002</v>
      </c>
      <c r="T28" s="27" t="s">
        <v>33</v>
      </c>
      <c r="U28" s="174" t="s">
        <v>193</v>
      </c>
    </row>
    <row r="29" spans="1:21">
      <c r="A29" s="70">
        <v>3</v>
      </c>
      <c r="B29" s="40" t="s">
        <v>56</v>
      </c>
      <c r="C29" s="73">
        <f>L29*A1</f>
        <v>321.60919999999999</v>
      </c>
      <c r="D29" s="72">
        <f>C29+G29</f>
        <v>499.47919999999999</v>
      </c>
      <c r="E29" s="75" t="s">
        <v>32</v>
      </c>
      <c r="F29" s="71" t="s">
        <v>32</v>
      </c>
      <c r="G29" s="72">
        <f>ROUND(Q29*A1,2)</f>
        <v>177.87</v>
      </c>
      <c r="H29" s="73">
        <f>R29*A1</f>
        <v>277.75054999999998</v>
      </c>
      <c r="I29" s="74">
        <f>S29*A1</f>
        <v>277.75054999999998</v>
      </c>
      <c r="J29" s="71" t="s">
        <v>33</v>
      </c>
      <c r="L29" s="172">
        <v>307.76</v>
      </c>
      <c r="M29" s="170" t="s">
        <v>188</v>
      </c>
      <c r="N29" s="25"/>
      <c r="O29" s="4"/>
      <c r="P29" s="4"/>
      <c r="Q29" s="173">
        <v>170.21</v>
      </c>
      <c r="R29" s="173">
        <v>265.79000000000002</v>
      </c>
      <c r="S29" s="176">
        <v>265.79000000000002</v>
      </c>
      <c r="T29" s="27" t="s">
        <v>33</v>
      </c>
      <c r="U29" s="174" t="s">
        <v>193</v>
      </c>
    </row>
    <row r="30" spans="1:21">
      <c r="A30" s="76">
        <v>4</v>
      </c>
      <c r="B30" s="65" t="s">
        <v>57</v>
      </c>
      <c r="C30" s="77"/>
      <c r="D30" s="78"/>
      <c r="E30" s="79"/>
      <c r="F30" s="80"/>
      <c r="G30" s="78"/>
      <c r="H30" s="77"/>
      <c r="I30" s="81"/>
      <c r="J30" s="80"/>
      <c r="L30" s="19"/>
      <c r="M30" s="171">
        <v>586.38</v>
      </c>
      <c r="N30" s="25"/>
      <c r="O30" s="4"/>
      <c r="P30" s="4"/>
      <c r="Q30" s="4"/>
      <c r="R30" s="4"/>
      <c r="S30" s="21"/>
      <c r="T30" s="29"/>
    </row>
    <row r="31" spans="1:21" ht="25.5">
      <c r="A31" s="82"/>
      <c r="B31" s="83" t="s">
        <v>58</v>
      </c>
      <c r="C31" s="49" t="s">
        <v>32</v>
      </c>
      <c r="D31" s="58">
        <f>M31*A1</f>
        <v>612.76709999999991</v>
      </c>
      <c r="E31" s="58">
        <f>O31*A1</f>
        <v>612.76709999999991</v>
      </c>
      <c r="F31" s="49">
        <v>4.3E-3</v>
      </c>
      <c r="G31" s="58">
        <f>ROUND(Q31*A1,2)</f>
        <v>177.87</v>
      </c>
      <c r="H31" s="84">
        <f>R31*A1</f>
        <v>277.75054999999998</v>
      </c>
      <c r="I31" s="85">
        <f>S31*A1</f>
        <v>277.75054999999998</v>
      </c>
      <c r="J31" s="49" t="s">
        <v>33</v>
      </c>
      <c r="M31" s="171">
        <v>586.38</v>
      </c>
      <c r="N31" s="25"/>
      <c r="O31" s="173">
        <v>586.38</v>
      </c>
      <c r="P31" s="4">
        <v>4.3E-3</v>
      </c>
      <c r="Q31" s="173">
        <v>170.21</v>
      </c>
      <c r="R31" s="173">
        <v>265.79000000000002</v>
      </c>
      <c r="S31" s="176">
        <v>265.79000000000002</v>
      </c>
      <c r="T31" s="27" t="s">
        <v>33</v>
      </c>
      <c r="U31" s="174" t="s">
        <v>193</v>
      </c>
    </row>
    <row r="32" spans="1:21" ht="25.5">
      <c r="A32" s="82"/>
      <c r="B32" s="86" t="s">
        <v>59</v>
      </c>
      <c r="C32" s="84">
        <f>L32*A1</f>
        <v>444.64749999999998</v>
      </c>
      <c r="D32" s="58">
        <f>M32*A1</f>
        <v>612.76709999999991</v>
      </c>
      <c r="E32" s="58">
        <f>O32*A1</f>
        <v>444.64749999999998</v>
      </c>
      <c r="F32" s="49" t="s">
        <v>32</v>
      </c>
      <c r="G32" s="58">
        <f>ROUND(Q32*A1,2)</f>
        <v>177.87</v>
      </c>
      <c r="H32" s="84">
        <f>R32*A1</f>
        <v>277.75054999999998</v>
      </c>
      <c r="I32" s="85">
        <f>S32*A1</f>
        <v>277.75054999999998</v>
      </c>
      <c r="J32" s="49" t="s">
        <v>33</v>
      </c>
      <c r="L32" s="172">
        <v>425.5</v>
      </c>
      <c r="M32" s="171">
        <v>586.38</v>
      </c>
      <c r="N32" s="25"/>
      <c r="O32" s="173">
        <v>425.5</v>
      </c>
      <c r="P32" s="4"/>
      <c r="Q32" s="173">
        <v>170.21</v>
      </c>
      <c r="R32" s="173">
        <v>265.79000000000002</v>
      </c>
      <c r="S32" s="176">
        <v>265.79000000000002</v>
      </c>
      <c r="T32" s="27" t="s">
        <v>33</v>
      </c>
      <c r="U32" s="174" t="s">
        <v>193</v>
      </c>
    </row>
    <row r="33" spans="1:21" ht="25.5">
      <c r="A33" s="82"/>
      <c r="B33" s="86" t="s">
        <v>60</v>
      </c>
      <c r="C33" s="84">
        <f>ROUND(L33*A1,2)</f>
        <v>612.77</v>
      </c>
      <c r="D33" s="58">
        <f>C33+G33</f>
        <v>790.64</v>
      </c>
      <c r="E33" s="87" t="s">
        <v>32</v>
      </c>
      <c r="F33" s="49" t="s">
        <v>32</v>
      </c>
      <c r="G33" s="58">
        <f>ROUND(Q33*A1,2)</f>
        <v>177.87</v>
      </c>
      <c r="H33" s="49" t="s">
        <v>32</v>
      </c>
      <c r="I33" s="85">
        <f>S33*A1</f>
        <v>277.75054999999998</v>
      </c>
      <c r="J33" s="49" t="s">
        <v>33</v>
      </c>
      <c r="L33" s="172">
        <v>586.38</v>
      </c>
      <c r="M33" s="170" t="s">
        <v>188</v>
      </c>
      <c r="N33" s="25"/>
      <c r="O33" s="4"/>
      <c r="P33" s="4"/>
      <c r="Q33" s="173">
        <v>170.21</v>
      </c>
      <c r="R33" s="4"/>
      <c r="S33" s="176">
        <v>265.79000000000002</v>
      </c>
      <c r="T33" s="27" t="s">
        <v>33</v>
      </c>
      <c r="U33" s="174" t="s">
        <v>193</v>
      </c>
    </row>
    <row r="34" spans="1:21" ht="50.25" customHeight="1">
      <c r="A34" s="88"/>
      <c r="B34" s="89" t="s">
        <v>61</v>
      </c>
      <c r="C34" s="53">
        <f>L34*A1</f>
        <v>612.76709999999991</v>
      </c>
      <c r="D34" s="54">
        <f>M34*A1</f>
        <v>612.76709999999991</v>
      </c>
      <c r="E34" s="54">
        <f>O34*A1</f>
        <v>444.64749999999998</v>
      </c>
      <c r="F34" s="56">
        <v>4.3E-3</v>
      </c>
      <c r="G34" s="54">
        <f>ROUND(Q34*A1,2)</f>
        <v>177.87</v>
      </c>
      <c r="H34" s="53">
        <f>R34*A1</f>
        <v>277.75054999999998</v>
      </c>
      <c r="I34" s="90">
        <f>S34*A1</f>
        <v>277.75054999999998</v>
      </c>
      <c r="J34" s="56" t="s">
        <v>33</v>
      </c>
      <c r="L34" s="172">
        <v>586.38</v>
      </c>
      <c r="M34" s="171">
        <v>586.38</v>
      </c>
      <c r="N34" s="25"/>
      <c r="O34" s="173">
        <v>425.5</v>
      </c>
      <c r="P34" s="4">
        <v>4.3E-3</v>
      </c>
      <c r="Q34" s="173">
        <v>170.21</v>
      </c>
      <c r="R34" s="173">
        <v>265.79000000000002</v>
      </c>
      <c r="S34" s="176">
        <v>265.79000000000002</v>
      </c>
      <c r="T34" s="27" t="s">
        <v>33</v>
      </c>
      <c r="U34" s="174" t="s">
        <v>193</v>
      </c>
    </row>
    <row r="35" spans="1:21" ht="15" customHeight="1">
      <c r="A35" s="76">
        <v>5</v>
      </c>
      <c r="B35" s="91" t="s">
        <v>62</v>
      </c>
      <c r="C35" s="92"/>
      <c r="D35" s="91"/>
      <c r="E35" s="91"/>
      <c r="F35" s="92"/>
      <c r="G35" s="91"/>
      <c r="H35" s="92"/>
      <c r="I35" s="93"/>
      <c r="J35" s="61"/>
      <c r="L35" s="19"/>
      <c r="M35" s="169"/>
      <c r="N35" s="25"/>
      <c r="O35" s="4"/>
      <c r="P35" s="4"/>
      <c r="Q35" s="4"/>
      <c r="R35" s="4"/>
      <c r="S35" s="21"/>
      <c r="T35" s="29"/>
    </row>
    <row r="36" spans="1:21">
      <c r="A36" s="82"/>
      <c r="B36" s="57" t="s">
        <v>63</v>
      </c>
      <c r="C36" s="94">
        <f>L36*A1</f>
        <v>490.95144999999997</v>
      </c>
      <c r="D36" s="58">
        <f>C36+G36</f>
        <v>521.40144999999995</v>
      </c>
      <c r="E36" s="87" t="s">
        <v>32</v>
      </c>
      <c r="F36" s="49" t="s">
        <v>32</v>
      </c>
      <c r="G36" s="95">
        <f>ROUND(Q36*A1,2)</f>
        <v>30.45</v>
      </c>
      <c r="H36" s="49" t="s">
        <v>32</v>
      </c>
      <c r="I36" s="96">
        <f>S36*A1</f>
        <v>277.75054999999998</v>
      </c>
      <c r="J36" s="97" t="s">
        <v>33</v>
      </c>
      <c r="L36" s="172">
        <v>469.81</v>
      </c>
      <c r="M36" s="170" t="s">
        <v>188</v>
      </c>
      <c r="N36" s="25"/>
      <c r="O36" s="4"/>
      <c r="P36" s="4"/>
      <c r="Q36" s="173">
        <v>29.14</v>
      </c>
      <c r="R36" s="4"/>
      <c r="S36" s="176">
        <v>265.79000000000002</v>
      </c>
      <c r="T36" s="27" t="s">
        <v>33</v>
      </c>
      <c r="U36" s="174" t="s">
        <v>193</v>
      </c>
    </row>
    <row r="37" spans="1:21">
      <c r="A37" s="82"/>
      <c r="B37" s="57" t="s">
        <v>64</v>
      </c>
      <c r="C37" s="49" t="s">
        <v>32</v>
      </c>
      <c r="D37" s="95">
        <f>M37*A1</f>
        <v>612.76709999999991</v>
      </c>
      <c r="E37" s="95">
        <f>O37*A1</f>
        <v>612.76709999999991</v>
      </c>
      <c r="F37" s="49">
        <v>1.9E-3</v>
      </c>
      <c r="G37" s="95">
        <f>ROUND(Q37*A1,2)</f>
        <v>30.45</v>
      </c>
      <c r="H37" s="49" t="s">
        <v>32</v>
      </c>
      <c r="I37" s="96">
        <f>S37*A1</f>
        <v>277.75054999999998</v>
      </c>
      <c r="J37" s="97" t="s">
        <v>33</v>
      </c>
      <c r="L37" s="19"/>
      <c r="M37" s="171">
        <v>586.38</v>
      </c>
      <c r="N37" s="25"/>
      <c r="O37" s="173">
        <v>586.38</v>
      </c>
      <c r="P37" s="4">
        <v>1.9E-3</v>
      </c>
      <c r="Q37" s="173">
        <v>29.14</v>
      </c>
      <c r="R37" s="4"/>
      <c r="S37" s="176">
        <v>265.79000000000002</v>
      </c>
      <c r="T37" s="27" t="s">
        <v>33</v>
      </c>
      <c r="U37" s="174" t="s">
        <v>193</v>
      </c>
    </row>
    <row r="38" spans="1:21" ht="25.5">
      <c r="A38" s="82"/>
      <c r="B38" s="83" t="s">
        <v>65</v>
      </c>
      <c r="C38" s="49" t="s">
        <v>32</v>
      </c>
      <c r="D38" s="58">
        <f>M38*A1</f>
        <v>612.76709999999991</v>
      </c>
      <c r="E38" s="58">
        <f>O38*A1</f>
        <v>612.76709999999991</v>
      </c>
      <c r="F38" s="49">
        <v>1.9E-3</v>
      </c>
      <c r="G38" s="58">
        <f>ROUND(Q38*A1,2)</f>
        <v>177.87</v>
      </c>
      <c r="H38" s="84">
        <f>R38*A1</f>
        <v>277.75054999999998</v>
      </c>
      <c r="I38" s="85">
        <f>S38*A1</f>
        <v>277.75054999999998</v>
      </c>
      <c r="J38" s="49" t="s">
        <v>33</v>
      </c>
      <c r="L38" s="19"/>
      <c r="M38" s="171">
        <v>586.38</v>
      </c>
      <c r="N38" s="25"/>
      <c r="O38" s="173">
        <v>586.38</v>
      </c>
      <c r="P38" s="4">
        <v>1.9E-3</v>
      </c>
      <c r="Q38" s="173">
        <v>170.21</v>
      </c>
      <c r="R38" s="173">
        <v>265.79000000000002</v>
      </c>
      <c r="S38" s="176">
        <v>265.79000000000002</v>
      </c>
      <c r="T38" s="27" t="s">
        <v>33</v>
      </c>
      <c r="U38" s="174" t="s">
        <v>193</v>
      </c>
    </row>
    <row r="39" spans="1:21" ht="25.5">
      <c r="A39" s="70">
        <v>6</v>
      </c>
      <c r="B39" s="98" t="s">
        <v>66</v>
      </c>
      <c r="C39" s="44" t="s">
        <v>32</v>
      </c>
      <c r="D39" s="42">
        <f>E39+G39</f>
        <v>426.39189999999996</v>
      </c>
      <c r="E39" s="42">
        <f>O39*A1</f>
        <v>248.52189999999999</v>
      </c>
      <c r="F39" s="44">
        <v>1.9E-3</v>
      </c>
      <c r="G39" s="42">
        <f>ROUND(Q39*A1,2)</f>
        <v>177.87</v>
      </c>
      <c r="H39" s="99">
        <f>R39*A1</f>
        <v>277.75054999999998</v>
      </c>
      <c r="I39" s="100">
        <f>S39*A1</f>
        <v>277.75054999999998</v>
      </c>
      <c r="J39" s="44" t="s">
        <v>33</v>
      </c>
      <c r="L39" s="19"/>
      <c r="M39" s="170" t="s">
        <v>194</v>
      </c>
      <c r="N39" s="25"/>
      <c r="O39" s="173">
        <v>237.82</v>
      </c>
      <c r="P39" s="4">
        <v>1.9E-3</v>
      </c>
      <c r="Q39" s="173">
        <v>170.21</v>
      </c>
      <c r="R39" s="173">
        <v>265.79000000000002</v>
      </c>
      <c r="S39" s="176">
        <v>265.79000000000002</v>
      </c>
      <c r="T39" s="27" t="s">
        <v>33</v>
      </c>
      <c r="U39" s="174" t="s">
        <v>193</v>
      </c>
    </row>
    <row r="40" spans="1:21" ht="13.5" customHeight="1">
      <c r="A40" s="76">
        <v>7</v>
      </c>
      <c r="B40" s="45" t="s">
        <v>67</v>
      </c>
      <c r="C40" s="80"/>
      <c r="D40" s="79"/>
      <c r="E40" s="79"/>
      <c r="F40" s="80"/>
      <c r="G40" s="79"/>
      <c r="H40" s="80"/>
      <c r="I40" s="81"/>
      <c r="J40" s="80"/>
      <c r="L40" s="19"/>
      <c r="M40" s="169"/>
      <c r="N40" s="25"/>
      <c r="O40" s="4"/>
      <c r="P40" s="4"/>
      <c r="Q40" s="4"/>
      <c r="R40" s="4"/>
      <c r="S40" s="21"/>
      <c r="T40" s="29"/>
    </row>
    <row r="41" spans="1:21">
      <c r="A41" s="82"/>
      <c r="B41" s="57" t="s">
        <v>68</v>
      </c>
      <c r="C41" s="84">
        <f>ROUND(L41*A1,2)</f>
        <v>125.48</v>
      </c>
      <c r="D41" s="58">
        <f>C41+G41</f>
        <v>155.93</v>
      </c>
      <c r="E41" s="87" t="s">
        <v>32</v>
      </c>
      <c r="F41" s="49" t="s">
        <v>32</v>
      </c>
      <c r="G41" s="95">
        <f>ROUND(Q41*A1,2)</f>
        <v>30.45</v>
      </c>
      <c r="H41" s="49" t="s">
        <v>32</v>
      </c>
      <c r="I41" s="96">
        <f>S41*A1</f>
        <v>138.88049999999998</v>
      </c>
      <c r="J41" s="97" t="s">
        <v>33</v>
      </c>
      <c r="L41" s="172">
        <v>120.08</v>
      </c>
      <c r="M41" s="170" t="s">
        <v>188</v>
      </c>
      <c r="N41" s="25"/>
      <c r="O41" s="4"/>
      <c r="P41" s="4"/>
      <c r="Q41" s="173">
        <v>29.14</v>
      </c>
      <c r="R41" s="4"/>
      <c r="S41" s="176">
        <v>132.9</v>
      </c>
      <c r="T41" s="27" t="s">
        <v>33</v>
      </c>
      <c r="U41" s="174" t="s">
        <v>193</v>
      </c>
    </row>
    <row r="42" spans="1:21">
      <c r="A42" s="88"/>
      <c r="B42" s="39" t="s">
        <v>69</v>
      </c>
      <c r="C42" s="53">
        <f>ROUND(L42*A1,2)</f>
        <v>248.52</v>
      </c>
      <c r="D42" s="58">
        <f>C42+G42</f>
        <v>426.39</v>
      </c>
      <c r="E42" s="52" t="s">
        <v>32</v>
      </c>
      <c r="F42" s="56" t="s">
        <v>32</v>
      </c>
      <c r="G42" s="102">
        <f>ROUND(Q42*A1,2)</f>
        <v>177.87</v>
      </c>
      <c r="H42" s="101">
        <f>R42*A1</f>
        <v>277.75054999999998</v>
      </c>
      <c r="I42" s="103">
        <f>S42*A1</f>
        <v>138.88049999999998</v>
      </c>
      <c r="J42" s="104" t="s">
        <v>33</v>
      </c>
      <c r="L42" s="172">
        <v>237.82</v>
      </c>
      <c r="M42" s="170" t="s">
        <v>188</v>
      </c>
      <c r="N42" s="25"/>
      <c r="O42" s="4"/>
      <c r="P42" s="4"/>
      <c r="Q42" s="173">
        <v>170.21</v>
      </c>
      <c r="R42" s="173">
        <v>265.79000000000002</v>
      </c>
      <c r="S42" s="176">
        <v>132.9</v>
      </c>
      <c r="T42" s="27" t="s">
        <v>33</v>
      </c>
      <c r="U42" s="174" t="s">
        <v>193</v>
      </c>
    </row>
    <row r="43" spans="1:21" ht="25.5">
      <c r="A43" s="70">
        <v>8</v>
      </c>
      <c r="B43" s="40" t="s">
        <v>43</v>
      </c>
      <c r="C43" s="99">
        <f>ROUND(L43*A1,2)</f>
        <v>275.32</v>
      </c>
      <c r="D43" s="42">
        <f>C43+G43</f>
        <v>453.19</v>
      </c>
      <c r="E43" s="41" t="s">
        <v>32</v>
      </c>
      <c r="F43" s="44" t="s">
        <v>32</v>
      </c>
      <c r="G43" s="42">
        <f>ROUND(Q43*A1,2)</f>
        <v>177.87</v>
      </c>
      <c r="H43" s="99">
        <f>R43*A1</f>
        <v>277.75054999999998</v>
      </c>
      <c r="I43" s="100">
        <f>S43*A1</f>
        <v>138.88049999999998</v>
      </c>
      <c r="J43" s="44" t="s">
        <v>33</v>
      </c>
      <c r="L43" s="172">
        <v>263.45999999999998</v>
      </c>
      <c r="M43" s="170" t="s">
        <v>188</v>
      </c>
      <c r="N43" s="25"/>
      <c r="O43" s="4"/>
      <c r="P43" s="4"/>
      <c r="Q43" s="173">
        <v>170.21</v>
      </c>
      <c r="R43" s="173">
        <v>265.79000000000002</v>
      </c>
      <c r="S43" s="176">
        <v>132.9</v>
      </c>
      <c r="T43" s="27" t="s">
        <v>33</v>
      </c>
      <c r="U43" s="174" t="s">
        <v>193</v>
      </c>
    </row>
    <row r="44" spans="1:21">
      <c r="A44" s="70">
        <v>9</v>
      </c>
      <c r="B44" s="40" t="s">
        <v>70</v>
      </c>
      <c r="C44" s="75" t="s">
        <v>32</v>
      </c>
      <c r="D44" s="42">
        <f>E44+G44</f>
        <v>329.01</v>
      </c>
      <c r="E44" s="105">
        <f>ROUND(O44*A1,2)</f>
        <v>298.56</v>
      </c>
      <c r="F44" s="106" t="s">
        <v>41</v>
      </c>
      <c r="G44" s="107">
        <f>ROUND(Q44*A1,2)</f>
        <v>30.45</v>
      </c>
      <c r="H44" s="49" t="s">
        <v>32</v>
      </c>
      <c r="I44" s="70" t="s">
        <v>32</v>
      </c>
      <c r="J44" s="108"/>
      <c r="L44" s="19"/>
      <c r="M44" s="170" t="s">
        <v>194</v>
      </c>
      <c r="N44" s="25"/>
      <c r="O44" s="173">
        <v>285.7</v>
      </c>
      <c r="P44" s="4"/>
      <c r="Q44" s="173">
        <v>29.14</v>
      </c>
      <c r="R44" s="4"/>
      <c r="S44" s="176">
        <v>132.9</v>
      </c>
      <c r="T44" s="27" t="s">
        <v>33</v>
      </c>
      <c r="U44" s="174" t="s">
        <v>193</v>
      </c>
    </row>
    <row r="45" spans="1:21">
      <c r="A45" s="70">
        <v>10</v>
      </c>
      <c r="B45" s="40" t="s">
        <v>71</v>
      </c>
      <c r="C45" s="75" t="s">
        <v>32</v>
      </c>
      <c r="D45" s="72">
        <f>M45*A1</f>
        <v>369.12534999999997</v>
      </c>
      <c r="E45" s="75" t="s">
        <v>32</v>
      </c>
      <c r="F45" s="71">
        <v>1.9E-3</v>
      </c>
      <c r="G45" s="72">
        <f>ROUND(Q45*A1,2)</f>
        <v>177.87</v>
      </c>
      <c r="H45" s="73">
        <f>R45*A1</f>
        <v>277.75054999999998</v>
      </c>
      <c r="I45" s="74">
        <f>S45*A1</f>
        <v>277.75054999999998</v>
      </c>
      <c r="J45" s="71" t="s">
        <v>33</v>
      </c>
      <c r="L45" s="19"/>
      <c r="M45" s="171">
        <v>353.23</v>
      </c>
      <c r="N45" s="25"/>
      <c r="O45" s="4"/>
      <c r="P45" s="4">
        <v>1.9E-3</v>
      </c>
      <c r="Q45" s="173">
        <v>170.21</v>
      </c>
      <c r="R45" s="173">
        <v>265.79000000000002</v>
      </c>
      <c r="S45" s="176">
        <v>265.79000000000002</v>
      </c>
      <c r="T45" s="27" t="s">
        <v>33</v>
      </c>
      <c r="U45" s="174" t="s">
        <v>193</v>
      </c>
    </row>
    <row r="46" spans="1:21">
      <c r="A46" s="70">
        <v>11</v>
      </c>
      <c r="B46" s="40" t="s">
        <v>45</v>
      </c>
      <c r="C46" s="73">
        <f>ROUND(L46*A1,2)</f>
        <v>248.52</v>
      </c>
      <c r="D46" s="72">
        <f>C46+G46</f>
        <v>278.97000000000003</v>
      </c>
      <c r="E46" s="75" t="s">
        <v>32</v>
      </c>
      <c r="F46" s="71" t="s">
        <v>32</v>
      </c>
      <c r="G46" s="72">
        <f>ROUND(Q46*A1,2)</f>
        <v>30.45</v>
      </c>
      <c r="H46" s="71" t="s">
        <v>32</v>
      </c>
      <c r="I46" s="109" t="s">
        <v>41</v>
      </c>
      <c r="J46" s="71"/>
      <c r="L46" s="172">
        <v>237.82</v>
      </c>
      <c r="M46" s="170" t="s">
        <v>188</v>
      </c>
      <c r="N46" s="25"/>
      <c r="O46" s="4"/>
      <c r="P46" s="4"/>
      <c r="Q46" s="173">
        <v>29.14</v>
      </c>
      <c r="R46" s="4"/>
      <c r="S46" s="21"/>
      <c r="T46" s="29"/>
    </row>
    <row r="47" spans="1:21">
      <c r="A47" s="70">
        <v>12</v>
      </c>
      <c r="B47" s="40" t="s">
        <v>72</v>
      </c>
      <c r="C47" s="73">
        <f>ROUND(L47*A1,2)</f>
        <v>488.51</v>
      </c>
      <c r="D47" s="72">
        <f>C47+G47</f>
        <v>666.38</v>
      </c>
      <c r="E47" s="75" t="s">
        <v>32</v>
      </c>
      <c r="F47" s="71" t="s">
        <v>32</v>
      </c>
      <c r="G47" s="72">
        <f>ROUND(Q47*A1,2)</f>
        <v>177.87</v>
      </c>
      <c r="H47" s="73">
        <f>R47*A1</f>
        <v>277.75054999999998</v>
      </c>
      <c r="I47" s="74">
        <f>S47*A1</f>
        <v>138.88049999999998</v>
      </c>
      <c r="J47" s="71" t="s">
        <v>33</v>
      </c>
      <c r="L47" s="172">
        <v>467.47</v>
      </c>
      <c r="M47" s="170" t="s">
        <v>188</v>
      </c>
      <c r="N47" s="25"/>
      <c r="O47" s="4"/>
      <c r="P47" s="4"/>
      <c r="Q47" s="173">
        <v>170.21</v>
      </c>
      <c r="R47" s="173">
        <v>265.79000000000002</v>
      </c>
      <c r="S47" s="176">
        <v>132.9</v>
      </c>
      <c r="T47" s="27" t="s">
        <v>33</v>
      </c>
      <c r="U47" s="174" t="s">
        <v>193</v>
      </c>
    </row>
    <row r="48" spans="1:21">
      <c r="A48" s="70">
        <v>13</v>
      </c>
      <c r="B48" s="40" t="s">
        <v>73</v>
      </c>
      <c r="C48" s="110">
        <f>L48*A1</f>
        <v>5.0473499999999998E-2</v>
      </c>
      <c r="D48" s="109"/>
      <c r="E48" s="107">
        <f>O48*A1</f>
        <v>238.86609999999999</v>
      </c>
      <c r="F48" s="97" t="s">
        <v>32</v>
      </c>
      <c r="G48" s="72">
        <f>ROUND(Q48*A1,2)</f>
        <v>30.45</v>
      </c>
      <c r="H48" s="71" t="s">
        <v>41</v>
      </c>
      <c r="I48" s="111"/>
      <c r="J48" s="108"/>
      <c r="L48" s="180">
        <v>4.8300000000000003E-2</v>
      </c>
      <c r="M48" s="169"/>
      <c r="N48" s="25"/>
      <c r="O48" s="173">
        <v>228.58</v>
      </c>
      <c r="P48" s="4"/>
      <c r="Q48" s="173">
        <v>29.14</v>
      </c>
      <c r="R48" s="4"/>
      <c r="S48" s="176">
        <v>132.9</v>
      </c>
      <c r="T48" s="29"/>
      <c r="U48" s="174" t="s">
        <v>193</v>
      </c>
    </row>
    <row r="49" spans="1:22">
      <c r="A49" s="70">
        <v>14</v>
      </c>
      <c r="B49" s="40" t="s">
        <v>74</v>
      </c>
      <c r="C49" s="71" t="str">
        <f>CONCATENATE("$",ROUND(L49*A1,2),"/lf")</f>
        <v>$4.18/lf</v>
      </c>
      <c r="D49" s="72">
        <f>M49*A1</f>
        <v>125.4836</v>
      </c>
      <c r="E49" s="72">
        <f>O49*A1</f>
        <v>125.4836</v>
      </c>
      <c r="F49" s="71" t="s">
        <v>32</v>
      </c>
      <c r="G49" s="72">
        <f>ROUND(Q49*A1,2)</f>
        <v>30.45</v>
      </c>
      <c r="H49" s="71" t="s">
        <v>32</v>
      </c>
      <c r="I49" s="74">
        <f>S49*A1</f>
        <v>138.88049999999998</v>
      </c>
      <c r="J49" s="71" t="s">
        <v>33</v>
      </c>
      <c r="L49" s="172">
        <v>4</v>
      </c>
      <c r="M49" s="171">
        <v>120.08</v>
      </c>
      <c r="N49" s="25"/>
      <c r="O49" s="173">
        <v>120.08</v>
      </c>
      <c r="P49" s="4"/>
      <c r="Q49" s="173">
        <v>29.14</v>
      </c>
      <c r="R49" s="4"/>
      <c r="S49" s="176">
        <v>132.9</v>
      </c>
      <c r="T49" s="27" t="s">
        <v>33</v>
      </c>
      <c r="U49" s="174" t="s">
        <v>193</v>
      </c>
    </row>
    <row r="50" spans="1:22">
      <c r="A50" s="76">
        <v>15</v>
      </c>
      <c r="B50" s="65" t="s">
        <v>75</v>
      </c>
      <c r="C50" s="80"/>
      <c r="D50" s="79"/>
      <c r="E50" s="79"/>
      <c r="F50" s="80"/>
      <c r="G50" s="78"/>
      <c r="H50" s="80"/>
      <c r="I50" s="76" t="s">
        <v>32</v>
      </c>
      <c r="J50" s="80"/>
      <c r="L50" s="19"/>
      <c r="M50" s="169"/>
      <c r="N50" s="25"/>
      <c r="O50" s="4"/>
      <c r="P50" s="4"/>
      <c r="Q50" s="4"/>
      <c r="R50" s="4"/>
      <c r="S50" s="21"/>
      <c r="T50" s="29"/>
    </row>
    <row r="51" spans="1:22" ht="14.25" customHeight="1">
      <c r="A51" s="82"/>
      <c r="B51" s="57" t="s">
        <v>76</v>
      </c>
      <c r="C51" s="94">
        <f>ROUND(L51*A1,2)</f>
        <v>248.52</v>
      </c>
      <c r="D51" s="95">
        <f>C51+G51</f>
        <v>278.97000000000003</v>
      </c>
      <c r="E51" s="87" t="s">
        <v>32</v>
      </c>
      <c r="F51" s="49" t="s">
        <v>32</v>
      </c>
      <c r="G51" s="95">
        <f>ROUND(Q51*A1,2)</f>
        <v>30.45</v>
      </c>
      <c r="H51" s="49" t="s">
        <v>32</v>
      </c>
      <c r="I51" s="96">
        <f>S51*A1</f>
        <v>138.88049999999998</v>
      </c>
      <c r="J51" s="97" t="s">
        <v>33</v>
      </c>
      <c r="L51" s="172">
        <v>237.82</v>
      </c>
      <c r="M51" s="170" t="s">
        <v>188</v>
      </c>
      <c r="N51" s="25"/>
      <c r="O51" s="4"/>
      <c r="P51" s="4"/>
      <c r="Q51" s="173">
        <v>29.14</v>
      </c>
      <c r="R51" s="4"/>
      <c r="S51" s="176">
        <v>132.9</v>
      </c>
      <c r="T51" s="27" t="s">
        <v>33</v>
      </c>
      <c r="U51" s="174" t="s">
        <v>193</v>
      </c>
      <c r="V51" s="32" t="s">
        <v>32</v>
      </c>
    </row>
    <row r="52" spans="1:22" ht="15" customHeight="1">
      <c r="A52" s="82"/>
      <c r="B52" s="57" t="s">
        <v>77</v>
      </c>
      <c r="C52" s="94">
        <f>ROUND(L52*A1,2)</f>
        <v>101.11</v>
      </c>
      <c r="D52" s="95">
        <f>C52+G52</f>
        <v>131.56</v>
      </c>
      <c r="E52" s="112" t="s">
        <v>32</v>
      </c>
      <c r="F52" s="97" t="s">
        <v>32</v>
      </c>
      <c r="G52" s="95">
        <f>ROUND(Q52*A1,2)</f>
        <v>30.45</v>
      </c>
      <c r="H52" s="97" t="s">
        <v>32</v>
      </c>
      <c r="I52" s="82" t="s">
        <v>32</v>
      </c>
      <c r="J52" s="97"/>
      <c r="L52" s="172">
        <v>96.76</v>
      </c>
      <c r="M52" s="170" t="s">
        <v>188</v>
      </c>
      <c r="N52" s="25"/>
      <c r="O52" s="4"/>
      <c r="P52" s="4"/>
      <c r="Q52" s="173">
        <v>29.14</v>
      </c>
      <c r="R52" s="4"/>
      <c r="S52" s="21"/>
      <c r="T52" s="29"/>
    </row>
    <row r="53" spans="1:22">
      <c r="A53" s="82"/>
      <c r="B53" s="83" t="s">
        <v>78</v>
      </c>
      <c r="C53" s="84">
        <f>ROUND(L53*A1,2)</f>
        <v>101.11</v>
      </c>
      <c r="D53" s="95">
        <f>C53+G53</f>
        <v>131.56</v>
      </c>
      <c r="E53" s="87" t="s">
        <v>32</v>
      </c>
      <c r="F53" s="49" t="s">
        <v>32</v>
      </c>
      <c r="G53" s="95">
        <f>ROUND(Q53*A1,2)</f>
        <v>30.45</v>
      </c>
      <c r="H53" s="49" t="s">
        <v>32</v>
      </c>
      <c r="I53" s="82" t="s">
        <v>32</v>
      </c>
      <c r="J53" s="97"/>
      <c r="L53" s="172">
        <v>96.76</v>
      </c>
      <c r="M53" s="170" t="s">
        <v>188</v>
      </c>
      <c r="N53" s="25"/>
      <c r="O53" s="4"/>
      <c r="P53" s="4"/>
      <c r="Q53" s="173">
        <v>29.14</v>
      </c>
      <c r="R53" s="4"/>
      <c r="S53" s="21"/>
      <c r="T53" s="29"/>
    </row>
    <row r="54" spans="1:22">
      <c r="A54" s="82"/>
      <c r="B54" s="83" t="s">
        <v>79</v>
      </c>
      <c r="C54" s="94">
        <f>ROUND(L54*A1,2)</f>
        <v>30.45</v>
      </c>
      <c r="D54" s="58"/>
      <c r="E54" s="112"/>
      <c r="F54" s="97"/>
      <c r="G54" s="58"/>
      <c r="H54" s="97"/>
      <c r="I54" s="113"/>
      <c r="J54" s="97"/>
      <c r="L54" s="172">
        <v>29.14</v>
      </c>
      <c r="M54" s="169"/>
      <c r="N54" s="25"/>
      <c r="O54" s="4"/>
      <c r="P54" s="4"/>
      <c r="Q54" s="4"/>
      <c r="R54" s="4"/>
      <c r="S54" s="21"/>
      <c r="T54" s="29"/>
    </row>
    <row r="55" spans="1:22">
      <c r="A55" s="88"/>
      <c r="B55" s="114"/>
      <c r="C55" s="104" t="s">
        <v>80</v>
      </c>
      <c r="D55" s="54"/>
      <c r="E55" s="115"/>
      <c r="F55" s="104"/>
      <c r="G55" s="54"/>
      <c r="H55" s="104"/>
      <c r="I55" s="116"/>
      <c r="J55" s="104"/>
      <c r="L55" s="19"/>
      <c r="M55" s="169"/>
      <c r="N55" s="25"/>
      <c r="O55" s="4"/>
      <c r="P55" s="4"/>
      <c r="Q55" s="4"/>
      <c r="R55" s="4"/>
      <c r="S55" s="21"/>
      <c r="T55" s="29"/>
    </row>
    <row r="56" spans="1:22">
      <c r="A56" s="70">
        <v>16</v>
      </c>
      <c r="B56" s="40" t="s">
        <v>81</v>
      </c>
      <c r="C56" s="73">
        <f>ROUND(L56*A1,2)</f>
        <v>201.01</v>
      </c>
      <c r="D56" s="72">
        <f>C56+G56</f>
        <v>378.88</v>
      </c>
      <c r="E56" s="75" t="s">
        <v>32</v>
      </c>
      <c r="F56" s="71" t="s">
        <v>32</v>
      </c>
      <c r="G56" s="72">
        <f>ROUND(Q56*A1,2)</f>
        <v>177.87</v>
      </c>
      <c r="H56" s="71" t="s">
        <v>32</v>
      </c>
      <c r="I56" s="74">
        <f>S56*A1</f>
        <v>138.88049999999998</v>
      </c>
      <c r="J56" s="71" t="s">
        <v>33</v>
      </c>
      <c r="L56" s="172">
        <v>192.35</v>
      </c>
      <c r="M56" s="170" t="s">
        <v>188</v>
      </c>
      <c r="N56" s="25"/>
      <c r="O56" s="4"/>
      <c r="P56" s="4"/>
      <c r="Q56" s="173">
        <v>170.21</v>
      </c>
      <c r="R56" s="4"/>
      <c r="S56" s="176">
        <v>132.9</v>
      </c>
      <c r="T56" s="27" t="s">
        <v>33</v>
      </c>
      <c r="U56" s="174" t="s">
        <v>193</v>
      </c>
    </row>
    <row r="57" spans="1:22" ht="25.5">
      <c r="A57" s="70">
        <v>17</v>
      </c>
      <c r="B57" s="40" t="s">
        <v>82</v>
      </c>
      <c r="C57" s="99">
        <f>L57*A1</f>
        <v>125.4836</v>
      </c>
      <c r="D57" s="42">
        <f>M57*A1</f>
        <v>125.4836</v>
      </c>
      <c r="E57" s="42">
        <f>O57*A1</f>
        <v>125.4836</v>
      </c>
      <c r="F57" s="44" t="s">
        <v>32</v>
      </c>
      <c r="G57" s="42">
        <f>ROUND(Q57*A1,2)</f>
        <v>177.87</v>
      </c>
      <c r="H57" s="44" t="s">
        <v>32</v>
      </c>
      <c r="I57" s="70" t="s">
        <v>41</v>
      </c>
      <c r="J57" s="44"/>
      <c r="L57" s="172">
        <v>120.08</v>
      </c>
      <c r="M57" s="171">
        <v>120.08</v>
      </c>
      <c r="N57" s="25"/>
      <c r="O57" s="173">
        <v>120.08</v>
      </c>
      <c r="P57" s="4"/>
      <c r="Q57" s="173">
        <v>170.21</v>
      </c>
      <c r="R57" s="4"/>
      <c r="S57" s="21"/>
      <c r="T57" s="29"/>
    </row>
    <row r="58" spans="1:22" ht="12.75" customHeight="1">
      <c r="A58" s="76">
        <v>18</v>
      </c>
      <c r="B58" s="45" t="s">
        <v>83</v>
      </c>
      <c r="C58" s="77">
        <f>L58*A1</f>
        <v>125.4836</v>
      </c>
      <c r="D58" s="78">
        <f>M58*A1</f>
        <v>125.4836</v>
      </c>
      <c r="E58" s="78">
        <f>O58*A1</f>
        <v>125.4836</v>
      </c>
      <c r="F58" s="61" t="s">
        <v>32</v>
      </c>
      <c r="G58" s="78">
        <f>ROUND(Q58*A1,2)</f>
        <v>177.87</v>
      </c>
      <c r="H58" s="61" t="s">
        <v>32</v>
      </c>
      <c r="I58" s="76" t="s">
        <v>41</v>
      </c>
      <c r="J58" s="80"/>
      <c r="L58" s="172">
        <v>120.08</v>
      </c>
      <c r="M58" s="171">
        <v>120.08</v>
      </c>
      <c r="N58" s="25"/>
      <c r="O58" s="173">
        <v>120.08</v>
      </c>
      <c r="P58" s="4"/>
      <c r="Q58" s="173">
        <v>170.21</v>
      </c>
      <c r="R58" s="4"/>
      <c r="S58" s="21"/>
      <c r="T58" s="29"/>
    </row>
    <row r="59" spans="1:22">
      <c r="A59" s="82"/>
      <c r="B59" s="57"/>
      <c r="C59" s="94">
        <f>L59*A1</f>
        <v>30.4513</v>
      </c>
      <c r="D59" s="95"/>
      <c r="E59" s="95"/>
      <c r="F59" s="97"/>
      <c r="G59" s="95"/>
      <c r="H59" s="97"/>
      <c r="I59" s="113"/>
      <c r="J59" s="97"/>
      <c r="L59" s="172">
        <v>29.14</v>
      </c>
      <c r="M59" s="169"/>
      <c r="N59" s="25"/>
      <c r="O59" s="4"/>
      <c r="P59" s="4"/>
      <c r="Q59" s="4"/>
      <c r="R59" s="4"/>
      <c r="S59" s="21"/>
      <c r="T59" s="29"/>
    </row>
    <row r="60" spans="1:22">
      <c r="A60" s="82"/>
      <c r="B60" s="57"/>
      <c r="C60" s="97" t="s">
        <v>80</v>
      </c>
      <c r="D60" s="95"/>
      <c r="E60" s="95"/>
      <c r="F60" s="97"/>
      <c r="G60" s="95"/>
      <c r="H60" s="97"/>
      <c r="I60" s="116"/>
      <c r="J60" s="104"/>
      <c r="L60" s="19"/>
      <c r="M60" s="169"/>
      <c r="N60" s="25"/>
      <c r="O60" s="4"/>
      <c r="P60" s="4"/>
      <c r="Q60" s="4"/>
      <c r="R60" s="4"/>
      <c r="S60" s="21"/>
      <c r="T60" s="29"/>
    </row>
    <row r="61" spans="1:22" ht="15" customHeight="1">
      <c r="A61" s="41">
        <v>19</v>
      </c>
      <c r="B61" s="40" t="s">
        <v>51</v>
      </c>
      <c r="C61" s="117">
        <f>L61*A1</f>
        <v>41.810449999999996</v>
      </c>
      <c r="D61" s="188" t="s">
        <v>84</v>
      </c>
      <c r="E61" s="72">
        <f>O61*A1</f>
        <v>80.391850000000005</v>
      </c>
      <c r="F61" s="71" t="s">
        <v>32</v>
      </c>
      <c r="G61" s="72">
        <f>ROUND(Q61*A1,2)</f>
        <v>30.45</v>
      </c>
      <c r="H61" s="108" t="s">
        <v>32</v>
      </c>
      <c r="I61" s="70" t="s">
        <v>32</v>
      </c>
      <c r="J61" s="108"/>
      <c r="L61" s="172">
        <v>40.01</v>
      </c>
      <c r="M61" s="169"/>
      <c r="N61" s="25"/>
      <c r="O61" s="173">
        <v>76.930000000000007</v>
      </c>
      <c r="P61" s="4"/>
      <c r="Q61" s="173">
        <v>29.14</v>
      </c>
      <c r="R61" s="4"/>
      <c r="S61" s="21"/>
      <c r="T61" s="29"/>
    </row>
    <row r="62" spans="1:22">
      <c r="A62" s="70">
        <v>20</v>
      </c>
      <c r="B62" s="40" t="s">
        <v>85</v>
      </c>
      <c r="C62" s="73">
        <f>ROUND(L62*A1,2)</f>
        <v>101.11</v>
      </c>
      <c r="D62" s="72">
        <f>C62+G62</f>
        <v>131.56</v>
      </c>
      <c r="E62" s="75" t="s">
        <v>32</v>
      </c>
      <c r="F62" s="71" t="s">
        <v>32</v>
      </c>
      <c r="G62" s="72">
        <f>ROUND(Q62*A1,2)</f>
        <v>30.45</v>
      </c>
      <c r="H62" s="71" t="s">
        <v>32</v>
      </c>
      <c r="I62" s="74">
        <f>S62*A1</f>
        <v>138.88049999999998</v>
      </c>
      <c r="J62" s="71" t="s">
        <v>33</v>
      </c>
      <c r="L62" s="172">
        <v>96.76</v>
      </c>
      <c r="M62" s="170" t="s">
        <v>188</v>
      </c>
      <c r="N62" s="25"/>
      <c r="O62" s="4"/>
      <c r="P62" s="4"/>
      <c r="Q62" s="173">
        <v>29.14</v>
      </c>
      <c r="R62" s="4"/>
      <c r="S62" s="176">
        <v>132.9</v>
      </c>
      <c r="T62" s="27" t="s">
        <v>33</v>
      </c>
      <c r="U62" s="174" t="s">
        <v>193</v>
      </c>
    </row>
    <row r="63" spans="1:22" ht="25.5">
      <c r="A63" s="70">
        <v>21</v>
      </c>
      <c r="B63" s="40" t="s">
        <v>86</v>
      </c>
      <c r="C63" s="99">
        <f>ROUND(L63*A1,2)</f>
        <v>101.11</v>
      </c>
      <c r="D63" s="42">
        <f>C63+G63</f>
        <v>131.56</v>
      </c>
      <c r="E63" s="41" t="s">
        <v>32</v>
      </c>
      <c r="F63" s="44" t="s">
        <v>32</v>
      </c>
      <c r="G63" s="42">
        <f>ROUND(Q63*A1,2)</f>
        <v>30.45</v>
      </c>
      <c r="H63" s="44" t="s">
        <v>32</v>
      </c>
      <c r="I63" s="100">
        <f>S63*A1</f>
        <v>138.88049999999998</v>
      </c>
      <c r="J63" s="44" t="s">
        <v>33</v>
      </c>
      <c r="L63" s="172">
        <v>96.76</v>
      </c>
      <c r="M63" s="170" t="s">
        <v>188</v>
      </c>
      <c r="N63" s="25"/>
      <c r="O63" s="4"/>
      <c r="P63" s="4"/>
      <c r="Q63" s="173">
        <v>29.14</v>
      </c>
      <c r="R63" s="4"/>
      <c r="S63" s="176">
        <v>132.9</v>
      </c>
      <c r="T63" s="27" t="s">
        <v>33</v>
      </c>
      <c r="U63" s="174" t="s">
        <v>193</v>
      </c>
    </row>
    <row r="64" spans="1:22">
      <c r="A64" s="33"/>
      <c r="B64" s="36"/>
      <c r="C64" s="22"/>
      <c r="D64" s="22"/>
      <c r="E64" s="23"/>
      <c r="F64" s="23"/>
      <c r="G64" s="22"/>
      <c r="H64" s="23"/>
      <c r="I64" s="36"/>
      <c r="J64" s="36"/>
      <c r="L64" s="19"/>
      <c r="M64" s="169"/>
      <c r="N64" s="19"/>
      <c r="O64" s="4"/>
      <c r="P64" s="4"/>
      <c r="Q64" s="4"/>
      <c r="R64" s="4"/>
      <c r="S64" s="21"/>
      <c r="T64" s="21"/>
    </row>
    <row r="65" spans="1:22">
      <c r="A65" s="204" t="s">
        <v>87</v>
      </c>
      <c r="B65" s="205"/>
      <c r="C65" s="205"/>
      <c r="D65" s="205"/>
      <c r="E65" s="205"/>
      <c r="F65" s="205"/>
      <c r="G65" s="205"/>
      <c r="H65" s="205"/>
      <c r="I65" s="205"/>
      <c r="J65" s="152"/>
      <c r="P65" s="24" t="s">
        <v>41</v>
      </c>
    </row>
    <row r="66" spans="1:22" ht="40.5">
      <c r="A66" s="198" t="s">
        <v>21</v>
      </c>
      <c r="B66" s="200"/>
      <c r="C66" s="150" t="s">
        <v>22</v>
      </c>
      <c r="D66" s="150" t="s">
        <v>23</v>
      </c>
      <c r="E66" s="150" t="s">
        <v>24</v>
      </c>
      <c r="F66" s="150" t="s">
        <v>25</v>
      </c>
      <c r="G66" s="150" t="s">
        <v>26</v>
      </c>
      <c r="H66" s="150" t="s">
        <v>27</v>
      </c>
      <c r="I66" s="200" t="s">
        <v>28</v>
      </c>
      <c r="J66" s="200"/>
    </row>
    <row r="67" spans="1:22" s="4" customFormat="1" ht="24.75" customHeight="1">
      <c r="A67" s="50">
        <v>1</v>
      </c>
      <c r="B67" s="45" t="s">
        <v>88</v>
      </c>
      <c r="C67" s="61"/>
      <c r="D67" s="47"/>
      <c r="E67" s="47"/>
      <c r="F67" s="61"/>
      <c r="G67" s="47"/>
      <c r="H67" s="61"/>
      <c r="I67" s="50"/>
      <c r="J67" s="118"/>
      <c r="L67" s="19"/>
      <c r="M67" s="169"/>
      <c r="N67" s="19"/>
      <c r="S67" s="21"/>
      <c r="T67" s="21"/>
      <c r="U67" s="21"/>
      <c r="V67" s="19"/>
    </row>
    <row r="68" spans="1:22" ht="25.5">
      <c r="A68" s="119"/>
      <c r="B68" s="57" t="s">
        <v>89</v>
      </c>
      <c r="C68" s="49" t="str">
        <f>CONCATENATE(ROUND(L68*A1,4),"/SF")</f>
        <v>0.0768/SF</v>
      </c>
      <c r="D68" s="58">
        <f>E68+G68</f>
        <v>255.82999999999998</v>
      </c>
      <c r="E68" s="58">
        <f>ROUND(O68*A1,2)</f>
        <v>225.38</v>
      </c>
      <c r="F68" s="97" t="s">
        <v>32</v>
      </c>
      <c r="G68" s="58">
        <f>ROUND(Q68*A1,2)</f>
        <v>30.45</v>
      </c>
      <c r="H68" s="97" t="s">
        <v>32</v>
      </c>
      <c r="I68" s="85">
        <f>S68*A1</f>
        <v>138.88049999999998</v>
      </c>
      <c r="J68" s="49" t="s">
        <v>33</v>
      </c>
      <c r="L68" s="180">
        <v>7.3499999999999996E-2</v>
      </c>
      <c r="M68" s="170" t="s">
        <v>194</v>
      </c>
      <c r="N68" s="26"/>
      <c r="O68" s="173">
        <v>215.67</v>
      </c>
      <c r="Q68" s="173">
        <v>29.14</v>
      </c>
      <c r="S68" s="176">
        <v>132.9</v>
      </c>
      <c r="T68" s="27" t="s">
        <v>33</v>
      </c>
      <c r="U68" s="174" t="s">
        <v>193</v>
      </c>
    </row>
    <row r="69" spans="1:22" ht="25.5">
      <c r="A69" s="51"/>
      <c r="B69" s="39" t="s">
        <v>90</v>
      </c>
      <c r="C69" s="56" t="str">
        <f>CONCATENATE(ROUND(L69*A1,4),"/SF")</f>
        <v>0.0242/SF</v>
      </c>
      <c r="D69" s="58">
        <f>E69+G69</f>
        <v>255.82999999999998</v>
      </c>
      <c r="E69" s="54">
        <f>ROUND(O69*A1,2)</f>
        <v>225.38</v>
      </c>
      <c r="F69" s="104" t="s">
        <v>32</v>
      </c>
      <c r="G69" s="54">
        <f>ROUND(Q69*A1,2)</f>
        <v>30.45</v>
      </c>
      <c r="H69" s="104" t="s">
        <v>32</v>
      </c>
      <c r="I69" s="90">
        <f>S69*A1</f>
        <v>138.88049999999998</v>
      </c>
      <c r="J69" s="56" t="s">
        <v>33</v>
      </c>
      <c r="L69" s="180">
        <v>2.3199999999999998E-2</v>
      </c>
      <c r="M69" s="170" t="s">
        <v>194</v>
      </c>
      <c r="N69" s="26"/>
      <c r="O69" s="173">
        <v>215.67</v>
      </c>
      <c r="Q69" s="173">
        <v>29.14</v>
      </c>
      <c r="S69" s="176">
        <v>132.9</v>
      </c>
      <c r="T69" s="27" t="s">
        <v>33</v>
      </c>
      <c r="U69" s="174" t="s">
        <v>193</v>
      </c>
    </row>
    <row r="70" spans="1:22">
      <c r="A70" s="120">
        <v>2</v>
      </c>
      <c r="B70" s="40" t="s">
        <v>91</v>
      </c>
      <c r="C70" s="73">
        <f>ROUND(L70*A1,2)</f>
        <v>225.38</v>
      </c>
      <c r="D70" s="72">
        <f>C70+G70</f>
        <v>255.82999999999998</v>
      </c>
      <c r="E70" s="75" t="s">
        <v>32</v>
      </c>
      <c r="F70" s="71" t="s">
        <v>32</v>
      </c>
      <c r="G70" s="72">
        <f>ROUND(Q70*A1,2)</f>
        <v>30.45</v>
      </c>
      <c r="H70" s="71" t="s">
        <v>32</v>
      </c>
      <c r="I70" s="100">
        <f>S70*A1</f>
        <v>138.88049999999998</v>
      </c>
      <c r="J70" s="44" t="s">
        <v>33</v>
      </c>
      <c r="L70" s="179">
        <v>215.67</v>
      </c>
      <c r="M70" s="170" t="s">
        <v>188</v>
      </c>
      <c r="N70" s="26"/>
      <c r="Q70" s="173">
        <v>29.14</v>
      </c>
      <c r="S70" s="177">
        <v>132.9</v>
      </c>
      <c r="T70" s="27" t="s">
        <v>33</v>
      </c>
      <c r="U70" s="174" t="s">
        <v>193</v>
      </c>
    </row>
    <row r="71" spans="1:22">
      <c r="A71" s="120">
        <v>3</v>
      </c>
      <c r="B71" s="40" t="s">
        <v>92</v>
      </c>
      <c r="C71" s="73">
        <f>ROUND(L71*A1,2)</f>
        <v>125.48</v>
      </c>
      <c r="D71" s="72">
        <f>C71+G71</f>
        <v>155.93</v>
      </c>
      <c r="E71" s="75" t="s">
        <v>32</v>
      </c>
      <c r="F71" s="71" t="s">
        <v>32</v>
      </c>
      <c r="G71" s="72">
        <f>ROUND(Q71*A1,2)</f>
        <v>30.45</v>
      </c>
      <c r="H71" s="71" t="s">
        <v>32</v>
      </c>
      <c r="I71" s="100">
        <f>S71*A1</f>
        <v>138.88049999999998</v>
      </c>
      <c r="J71" s="44" t="s">
        <v>33</v>
      </c>
      <c r="L71" s="179">
        <v>120.08</v>
      </c>
      <c r="M71" s="170" t="s">
        <v>188</v>
      </c>
      <c r="N71" s="26"/>
      <c r="Q71" s="173">
        <v>29.14</v>
      </c>
      <c r="S71" s="177">
        <v>132.9</v>
      </c>
      <c r="T71" s="27" t="s">
        <v>33</v>
      </c>
      <c r="U71" s="174" t="s">
        <v>193</v>
      </c>
    </row>
    <row r="72" spans="1:22">
      <c r="A72" s="120">
        <v>4</v>
      </c>
      <c r="B72" s="40" t="s">
        <v>93</v>
      </c>
      <c r="C72" s="73">
        <f>ROUND(L72*A1,2)</f>
        <v>125.48</v>
      </c>
      <c r="D72" s="72">
        <f>C72+G72</f>
        <v>155.93</v>
      </c>
      <c r="E72" s="75" t="s">
        <v>32</v>
      </c>
      <c r="F72" s="71" t="s">
        <v>32</v>
      </c>
      <c r="G72" s="72">
        <f>ROUND(Q72*A1,2)</f>
        <v>30.45</v>
      </c>
      <c r="H72" s="71" t="s">
        <v>32</v>
      </c>
      <c r="I72" s="100">
        <f>S72*A1</f>
        <v>138.88049999999998</v>
      </c>
      <c r="J72" s="44" t="s">
        <v>33</v>
      </c>
      <c r="L72" s="179">
        <v>120.08</v>
      </c>
      <c r="M72" s="170" t="s">
        <v>188</v>
      </c>
      <c r="N72" s="26"/>
      <c r="Q72" s="173">
        <v>29.14</v>
      </c>
      <c r="S72" s="177">
        <v>132.9</v>
      </c>
      <c r="T72" s="27" t="s">
        <v>33</v>
      </c>
      <c r="U72" s="174" t="s">
        <v>193</v>
      </c>
    </row>
    <row r="73" spans="1:22">
      <c r="A73" s="50">
        <v>5</v>
      </c>
      <c r="B73" s="45" t="s">
        <v>94</v>
      </c>
      <c r="C73" s="77">
        <f>L73*A1</f>
        <v>54.820699999999995</v>
      </c>
      <c r="D73" s="78">
        <f>E73+G73</f>
        <v>278.97000000000003</v>
      </c>
      <c r="E73" s="78">
        <f>ROUND(O73*A1,2)</f>
        <v>248.52</v>
      </c>
      <c r="F73" s="61" t="s">
        <v>32</v>
      </c>
      <c r="G73" s="78">
        <f>ROUND(Q73*A1,2)</f>
        <v>30.45</v>
      </c>
      <c r="H73" s="61" t="s">
        <v>32</v>
      </c>
      <c r="I73" s="121">
        <f>S73*A1</f>
        <v>138.88049999999998</v>
      </c>
      <c r="J73" s="61" t="s">
        <v>33</v>
      </c>
      <c r="L73" s="179">
        <v>52.46</v>
      </c>
      <c r="M73" s="170" t="s">
        <v>194</v>
      </c>
      <c r="N73" s="26"/>
      <c r="O73" s="178">
        <v>237.82</v>
      </c>
      <c r="Q73" s="173">
        <v>29.14</v>
      </c>
      <c r="S73" s="177">
        <v>132.9</v>
      </c>
      <c r="T73" s="27" t="s">
        <v>33</v>
      </c>
      <c r="U73" s="174" t="s">
        <v>193</v>
      </c>
    </row>
    <row r="74" spans="1:22" ht="13.5" customHeight="1">
      <c r="A74" s="51"/>
      <c r="B74" s="114"/>
      <c r="C74" s="56" t="s">
        <v>95</v>
      </c>
      <c r="D74" s="54"/>
      <c r="E74" s="54"/>
      <c r="F74" s="56"/>
      <c r="G74" s="54"/>
      <c r="H74" s="56"/>
      <c r="I74" s="51"/>
      <c r="J74" s="122"/>
      <c r="N74" s="26"/>
      <c r="T74" s="27"/>
    </row>
    <row r="75" spans="1:22">
      <c r="A75" s="120">
        <v>6</v>
      </c>
      <c r="B75" s="40" t="s">
        <v>96</v>
      </c>
      <c r="C75" s="73">
        <f>ROUND(L75*A1,2)</f>
        <v>125.48</v>
      </c>
      <c r="D75" s="72">
        <f>C75+G75</f>
        <v>155.93</v>
      </c>
      <c r="E75" s="75" t="s">
        <v>32</v>
      </c>
      <c r="F75" s="71" t="s">
        <v>32</v>
      </c>
      <c r="G75" s="72">
        <f>ROUND(Q75*A1,2)</f>
        <v>30.45</v>
      </c>
      <c r="H75" s="71" t="s">
        <v>32</v>
      </c>
      <c r="I75" s="100">
        <f>S75*A1</f>
        <v>138.88049999999998</v>
      </c>
      <c r="J75" s="44" t="s">
        <v>33</v>
      </c>
      <c r="L75" s="179">
        <v>120.08</v>
      </c>
      <c r="M75" s="170" t="s">
        <v>188</v>
      </c>
      <c r="N75" s="26"/>
      <c r="Q75" s="178">
        <v>29.14</v>
      </c>
      <c r="S75" s="177">
        <v>132.9</v>
      </c>
      <c r="T75" s="27" t="s">
        <v>33</v>
      </c>
      <c r="U75" s="174" t="s">
        <v>193</v>
      </c>
    </row>
    <row r="76" spans="1:22">
      <c r="A76" s="119">
        <v>7</v>
      </c>
      <c r="B76" s="57" t="s">
        <v>97</v>
      </c>
      <c r="C76" s="94"/>
      <c r="D76" s="95"/>
      <c r="E76" s="112"/>
      <c r="F76" s="97"/>
      <c r="G76" s="95"/>
      <c r="H76" s="97"/>
      <c r="I76" s="123"/>
      <c r="J76" s="124"/>
      <c r="N76" s="26"/>
      <c r="T76" s="30"/>
    </row>
    <row r="77" spans="1:22" ht="13.5" customHeight="1">
      <c r="A77" s="119"/>
      <c r="B77" s="83" t="s">
        <v>89</v>
      </c>
      <c r="C77" s="125"/>
      <c r="D77" s="126"/>
      <c r="E77" s="126"/>
      <c r="F77" s="49"/>
      <c r="G77" s="126"/>
      <c r="H77" s="49"/>
      <c r="I77" s="127"/>
      <c r="J77" s="128"/>
      <c r="N77" s="26"/>
      <c r="T77" s="30"/>
    </row>
    <row r="78" spans="1:22" ht="13.5" customHeight="1">
      <c r="A78" s="119"/>
      <c r="B78" s="83" t="s">
        <v>98</v>
      </c>
      <c r="C78" s="97" t="str">
        <f>CONCATENATE(ROUND(L78*A1,4),"/SF")</f>
        <v>0.0254/SF</v>
      </c>
      <c r="D78" s="95">
        <f>E78+G78</f>
        <v>399.58</v>
      </c>
      <c r="E78" s="95">
        <f>ROUND(O78*A1,2)</f>
        <v>369.13</v>
      </c>
      <c r="F78" s="49" t="s">
        <v>32</v>
      </c>
      <c r="G78" s="95">
        <f>ROUND(Q78*A1,2)</f>
        <v>30.45</v>
      </c>
      <c r="H78" s="49" t="s">
        <v>32</v>
      </c>
      <c r="I78" s="85">
        <f>S78*A1</f>
        <v>138.88049999999998</v>
      </c>
      <c r="J78" s="49" t="s">
        <v>33</v>
      </c>
      <c r="L78" s="181">
        <v>2.4299999999999999E-2</v>
      </c>
      <c r="M78" s="170" t="s">
        <v>194</v>
      </c>
      <c r="N78" s="26"/>
      <c r="O78" s="178">
        <v>353.23</v>
      </c>
      <c r="Q78" s="173">
        <v>29.14</v>
      </c>
      <c r="S78" s="177">
        <v>132.9</v>
      </c>
      <c r="T78" s="27" t="s">
        <v>33</v>
      </c>
      <c r="U78" s="174" t="s">
        <v>193</v>
      </c>
    </row>
    <row r="79" spans="1:22" ht="13.5" customHeight="1">
      <c r="A79" s="119"/>
      <c r="B79" s="83" t="s">
        <v>99</v>
      </c>
      <c r="C79" s="97" t="str">
        <f>CONCATENATE(ROUND(L79*A1,4),"/SF")</f>
        <v>0.0181/SF</v>
      </c>
      <c r="D79" s="95">
        <f t="shared" ref="D79:D82" si="0">E79+G79</f>
        <v>399.58</v>
      </c>
      <c r="E79" s="95">
        <f>ROUND(O79*A1,2)</f>
        <v>369.13</v>
      </c>
      <c r="F79" s="49" t="s">
        <v>32</v>
      </c>
      <c r="G79" s="95">
        <f>ROUND(Q79*A1,2)</f>
        <v>30.45</v>
      </c>
      <c r="H79" s="49" t="s">
        <v>32</v>
      </c>
      <c r="I79" s="85">
        <f>S79*A1</f>
        <v>138.88049999999998</v>
      </c>
      <c r="J79" s="49" t="s">
        <v>33</v>
      </c>
      <c r="L79" s="181">
        <v>1.7299999999999999E-2</v>
      </c>
      <c r="M79" s="170" t="s">
        <v>194</v>
      </c>
      <c r="N79" s="26"/>
      <c r="O79" s="178">
        <v>353.23</v>
      </c>
      <c r="Q79" s="173">
        <v>29.14</v>
      </c>
      <c r="S79" s="177">
        <v>132.9</v>
      </c>
      <c r="T79" s="27" t="s">
        <v>33</v>
      </c>
      <c r="U79" s="174" t="s">
        <v>193</v>
      </c>
    </row>
    <row r="80" spans="1:22" ht="13.5" customHeight="1">
      <c r="A80" s="119"/>
      <c r="B80" s="83" t="s">
        <v>100</v>
      </c>
      <c r="C80" s="125"/>
      <c r="D80" s="95"/>
      <c r="E80" s="126"/>
      <c r="F80" s="49"/>
      <c r="G80" s="126"/>
      <c r="H80" s="49"/>
      <c r="I80" s="127"/>
      <c r="J80" s="128"/>
      <c r="N80" s="26"/>
      <c r="T80" s="30"/>
    </row>
    <row r="81" spans="1:21" ht="13.5" customHeight="1">
      <c r="A81" s="119"/>
      <c r="B81" s="83" t="s">
        <v>101</v>
      </c>
      <c r="C81" s="97" t="str">
        <f>CONCATENATE(ROUND(L81*A1,4),"/SF")</f>
        <v>0.0181/SF</v>
      </c>
      <c r="D81" s="95">
        <f t="shared" si="0"/>
        <v>399.58</v>
      </c>
      <c r="E81" s="95">
        <f>ROUND(O81*A1,2)</f>
        <v>369.13</v>
      </c>
      <c r="F81" s="49" t="s">
        <v>32</v>
      </c>
      <c r="G81" s="95">
        <f>ROUND(Q81*A1,2)</f>
        <v>30.45</v>
      </c>
      <c r="H81" s="49" t="s">
        <v>32</v>
      </c>
      <c r="I81" s="85">
        <f>S81*A1</f>
        <v>138.88049999999998</v>
      </c>
      <c r="J81" s="49" t="s">
        <v>33</v>
      </c>
      <c r="L81" s="181">
        <v>1.7299999999999999E-2</v>
      </c>
      <c r="M81" s="170" t="s">
        <v>194</v>
      </c>
      <c r="N81" s="26"/>
      <c r="O81" s="178">
        <v>353.23</v>
      </c>
      <c r="Q81" s="173">
        <v>29.14</v>
      </c>
      <c r="S81" s="177">
        <v>132.9</v>
      </c>
      <c r="T81" s="27" t="s">
        <v>33</v>
      </c>
      <c r="U81" s="174" t="s">
        <v>193</v>
      </c>
    </row>
    <row r="82" spans="1:21" ht="14.25" customHeight="1">
      <c r="A82" s="51"/>
      <c r="B82" s="114" t="s">
        <v>99</v>
      </c>
      <c r="C82" s="104" t="str">
        <f>CONCATENATE(ROUND(L82*A1,4),"/SF")</f>
        <v>0.0064/SF</v>
      </c>
      <c r="D82" s="102">
        <f t="shared" si="0"/>
        <v>399.58</v>
      </c>
      <c r="E82" s="102">
        <f>ROUND(O82*A1,2)</f>
        <v>369.13</v>
      </c>
      <c r="F82" s="56" t="s">
        <v>32</v>
      </c>
      <c r="G82" s="102">
        <f>ROUND(Q82*A1,2)</f>
        <v>30.45</v>
      </c>
      <c r="H82" s="56" t="s">
        <v>32</v>
      </c>
      <c r="I82" s="90">
        <f>S82*A1</f>
        <v>138.88049999999998</v>
      </c>
      <c r="J82" s="56" t="s">
        <v>33</v>
      </c>
      <c r="L82" s="181">
        <v>6.1000000000000004E-3</v>
      </c>
      <c r="M82" s="170" t="s">
        <v>194</v>
      </c>
      <c r="N82" s="26"/>
      <c r="O82" s="178">
        <v>353.23</v>
      </c>
      <c r="Q82" s="173">
        <v>29.14</v>
      </c>
      <c r="S82" s="177">
        <v>132.9</v>
      </c>
      <c r="T82" s="27" t="s">
        <v>33</v>
      </c>
      <c r="U82" s="174" t="s">
        <v>193</v>
      </c>
    </row>
    <row r="83" spans="1:21" ht="14.25" customHeight="1">
      <c r="A83" s="37"/>
      <c r="B83" s="38"/>
      <c r="C83" s="35"/>
      <c r="D83" s="35"/>
      <c r="E83" s="35"/>
      <c r="F83" s="34"/>
      <c r="G83" s="35"/>
      <c r="H83" s="34"/>
      <c r="I83" s="38"/>
      <c r="J83" s="38"/>
    </row>
    <row r="84" spans="1:21">
      <c r="A84" s="206" t="s">
        <v>102</v>
      </c>
      <c r="B84" s="207"/>
      <c r="C84" s="207"/>
      <c r="D84" s="207"/>
      <c r="E84" s="207"/>
      <c r="F84" s="207"/>
      <c r="G84" s="207"/>
      <c r="H84" s="207"/>
      <c r="I84" s="207"/>
      <c r="J84" s="153"/>
    </row>
    <row r="85" spans="1:21" ht="40.5">
      <c r="A85" s="198" t="s">
        <v>21</v>
      </c>
      <c r="B85" s="200"/>
      <c r="C85" s="150" t="s">
        <v>22</v>
      </c>
      <c r="D85" s="150" t="s">
        <v>23</v>
      </c>
      <c r="E85" s="150" t="s">
        <v>24</v>
      </c>
      <c r="F85" s="150" t="s">
        <v>25</v>
      </c>
      <c r="G85" s="150" t="s">
        <v>26</v>
      </c>
      <c r="H85" s="150" t="s">
        <v>27</v>
      </c>
      <c r="I85" s="200" t="s">
        <v>28</v>
      </c>
      <c r="J85" s="200"/>
    </row>
    <row r="86" spans="1:21" ht="26.25" customHeight="1">
      <c r="A86" s="45">
        <v>1</v>
      </c>
      <c r="B86" s="128" t="s">
        <v>103</v>
      </c>
      <c r="C86" s="47"/>
      <c r="D86" s="49"/>
      <c r="E86" s="49"/>
      <c r="F86" s="47"/>
      <c r="G86" s="49"/>
      <c r="H86" s="47"/>
      <c r="I86" s="128"/>
      <c r="J86" s="128"/>
      <c r="L86" s="19"/>
      <c r="M86" s="169"/>
      <c r="N86" s="25"/>
      <c r="O86" s="4"/>
      <c r="P86" s="4"/>
      <c r="Q86" s="4"/>
      <c r="R86" s="4"/>
      <c r="S86" s="21"/>
      <c r="T86" s="21"/>
    </row>
    <row r="87" spans="1:21" ht="15" customHeight="1">
      <c r="A87" s="83"/>
      <c r="B87" s="128" t="s">
        <v>104</v>
      </c>
      <c r="C87" s="58">
        <f>ROUND(L87*A1,2)</f>
        <v>248.52</v>
      </c>
      <c r="D87" s="84">
        <f>C87+G87</f>
        <v>278.97000000000003</v>
      </c>
      <c r="E87" s="49" t="s">
        <v>32</v>
      </c>
      <c r="F87" s="87" t="s">
        <v>32</v>
      </c>
      <c r="G87" s="84">
        <f>ROUND(Q87*A1,2)</f>
        <v>30.45</v>
      </c>
      <c r="H87" s="87" t="s">
        <v>32</v>
      </c>
      <c r="I87" s="129">
        <f>S87*A1</f>
        <v>138.88049999999998</v>
      </c>
      <c r="J87" s="49" t="s">
        <v>33</v>
      </c>
      <c r="L87" s="172">
        <v>237.82</v>
      </c>
      <c r="M87" s="170" t="s">
        <v>188</v>
      </c>
      <c r="N87" s="25"/>
      <c r="O87" s="4"/>
      <c r="P87" s="4"/>
      <c r="Q87" s="173">
        <v>29.14</v>
      </c>
      <c r="R87" s="4"/>
      <c r="S87" s="176">
        <v>132.9</v>
      </c>
      <c r="T87" s="29"/>
      <c r="U87" s="174" t="s">
        <v>193</v>
      </c>
    </row>
    <row r="88" spans="1:21">
      <c r="A88" s="83"/>
      <c r="B88" s="124" t="s">
        <v>105</v>
      </c>
      <c r="C88" s="58">
        <f>ROUND(L88*A1,2)</f>
        <v>177.87</v>
      </c>
      <c r="D88" s="84">
        <f>C88+G88</f>
        <v>208.32</v>
      </c>
      <c r="E88" s="49" t="s">
        <v>32</v>
      </c>
      <c r="F88" s="87" t="s">
        <v>32</v>
      </c>
      <c r="G88" s="84">
        <f>ROUND(Q88*A1,2)</f>
        <v>30.45</v>
      </c>
      <c r="H88" s="87" t="s">
        <v>32</v>
      </c>
      <c r="I88" s="49" t="s">
        <v>32</v>
      </c>
      <c r="J88" s="49"/>
      <c r="L88" s="172">
        <v>170.21</v>
      </c>
      <c r="M88" s="170" t="s">
        <v>188</v>
      </c>
      <c r="N88" s="25"/>
      <c r="O88" s="4"/>
      <c r="P88" s="4"/>
      <c r="Q88" s="173">
        <v>29.14</v>
      </c>
      <c r="R88" s="4"/>
      <c r="S88" s="176">
        <v>132.9</v>
      </c>
      <c r="T88" s="29"/>
      <c r="U88" s="174" t="s">
        <v>193</v>
      </c>
    </row>
    <row r="89" spans="1:21">
      <c r="A89" s="83"/>
      <c r="B89" s="124" t="s">
        <v>106</v>
      </c>
      <c r="C89" s="58">
        <f>ROUND(L89*A1,2)</f>
        <v>177.87</v>
      </c>
      <c r="D89" s="84">
        <f>C89+G89</f>
        <v>208.32</v>
      </c>
      <c r="E89" s="49" t="s">
        <v>32</v>
      </c>
      <c r="F89" s="87" t="s">
        <v>32</v>
      </c>
      <c r="G89" s="84">
        <f>ROUND(Q89*A1,2)</f>
        <v>30.45</v>
      </c>
      <c r="H89" s="87" t="s">
        <v>32</v>
      </c>
      <c r="I89" s="49" t="s">
        <v>32</v>
      </c>
      <c r="J89" s="49"/>
      <c r="L89" s="172">
        <v>170.21</v>
      </c>
      <c r="M89" s="170" t="s">
        <v>188</v>
      </c>
      <c r="N89" s="25"/>
      <c r="O89" s="4"/>
      <c r="P89" s="4"/>
      <c r="Q89" s="173">
        <v>29.14</v>
      </c>
      <c r="R89" s="4"/>
      <c r="S89" s="176">
        <v>132.9</v>
      </c>
      <c r="T89" s="29"/>
      <c r="U89" s="174" t="s">
        <v>193</v>
      </c>
    </row>
    <row r="90" spans="1:21" ht="25.5">
      <c r="A90" s="98">
        <v>2</v>
      </c>
      <c r="B90" s="130" t="s">
        <v>107</v>
      </c>
      <c r="C90" s="41" t="s">
        <v>32</v>
      </c>
      <c r="D90" s="99">
        <f>E90+G90</f>
        <v>278.97000000000003</v>
      </c>
      <c r="E90" s="99">
        <f>ROUND(O90*A1,2)</f>
        <v>248.52</v>
      </c>
      <c r="F90" s="41">
        <f>P90</f>
        <v>1.9E-3</v>
      </c>
      <c r="G90" s="99">
        <f>ROUND(Q90*A1,2)</f>
        <v>30.45</v>
      </c>
      <c r="H90" s="41" t="s">
        <v>32</v>
      </c>
      <c r="I90" s="131">
        <f>S90*A1</f>
        <v>138.88049999999998</v>
      </c>
      <c r="J90" s="44" t="s">
        <v>33</v>
      </c>
      <c r="L90" s="19"/>
      <c r="M90" s="170" t="s">
        <v>194</v>
      </c>
      <c r="N90" s="25"/>
      <c r="O90" s="173">
        <v>237.82</v>
      </c>
      <c r="P90" s="4">
        <v>1.9E-3</v>
      </c>
      <c r="Q90" s="173">
        <v>29.14</v>
      </c>
      <c r="R90" s="4"/>
      <c r="S90" s="176">
        <v>132.9</v>
      </c>
      <c r="T90" s="29"/>
      <c r="U90" s="174" t="s">
        <v>193</v>
      </c>
    </row>
    <row r="91" spans="1:21" ht="25.5">
      <c r="A91" s="83">
        <v>3</v>
      </c>
      <c r="B91" s="124" t="s">
        <v>108</v>
      </c>
      <c r="C91" s="87" t="s">
        <v>32</v>
      </c>
      <c r="D91" s="84">
        <f>E91+G91</f>
        <v>278.97000000000003</v>
      </c>
      <c r="E91" s="84">
        <f>ROUND(O91*A1,2)</f>
        <v>248.52</v>
      </c>
      <c r="F91" s="87">
        <f t="shared" ref="F91:F92" si="1">P91</f>
        <v>5.0000000000000001E-3</v>
      </c>
      <c r="G91" s="84">
        <f>ROUND(Q91*A1,2)</f>
        <v>30.45</v>
      </c>
      <c r="H91" s="87" t="s">
        <v>32</v>
      </c>
      <c r="I91" s="129">
        <f>S91*A1</f>
        <v>138.88049999999998</v>
      </c>
      <c r="J91" s="49" t="s">
        <v>33</v>
      </c>
      <c r="L91" s="19"/>
      <c r="M91" s="170" t="s">
        <v>194</v>
      </c>
      <c r="N91" s="25"/>
      <c r="O91" s="173">
        <v>237.82</v>
      </c>
      <c r="P91" s="4">
        <v>5.0000000000000001E-3</v>
      </c>
      <c r="Q91" s="173">
        <v>29.14</v>
      </c>
      <c r="R91" s="4"/>
      <c r="S91" s="176">
        <v>132.9</v>
      </c>
      <c r="T91" s="29"/>
      <c r="U91" s="174" t="s">
        <v>193</v>
      </c>
    </row>
    <row r="92" spans="1:21" ht="127.5">
      <c r="A92" s="98">
        <v>4</v>
      </c>
      <c r="B92" s="130" t="s">
        <v>109</v>
      </c>
      <c r="C92" s="42">
        <f>L92*A1</f>
        <v>177.86945</v>
      </c>
      <c r="D92" s="99">
        <f>E92+G92</f>
        <v>278.97000000000003</v>
      </c>
      <c r="E92" s="99">
        <f>ROUND(O92*A1,2)</f>
        <v>248.52</v>
      </c>
      <c r="F92" s="41">
        <f t="shared" si="1"/>
        <v>5.0000000000000001E-3</v>
      </c>
      <c r="G92" s="99">
        <f>ROUND(Q92*A1,2)</f>
        <v>30.45</v>
      </c>
      <c r="H92" s="41" t="s">
        <v>32</v>
      </c>
      <c r="I92" s="131">
        <f>S92*A1</f>
        <v>138.88049999999998</v>
      </c>
      <c r="J92" s="44" t="s">
        <v>33</v>
      </c>
      <c r="K92" s="4"/>
      <c r="L92" s="172">
        <v>170.21</v>
      </c>
      <c r="M92" s="170" t="s">
        <v>194</v>
      </c>
      <c r="N92" s="25"/>
      <c r="O92" s="173">
        <v>237.82</v>
      </c>
      <c r="P92" s="4">
        <v>5.0000000000000001E-3</v>
      </c>
      <c r="Q92" s="173">
        <v>29.14</v>
      </c>
      <c r="R92" s="4"/>
      <c r="S92" s="176">
        <v>132.9</v>
      </c>
      <c r="T92" s="29"/>
      <c r="U92" s="174" t="s">
        <v>193</v>
      </c>
    </row>
  </sheetData>
  <mergeCells count="14">
    <mergeCell ref="A85:B85"/>
    <mergeCell ref="A26:I26"/>
    <mergeCell ref="A65:I65"/>
    <mergeCell ref="A66:B66"/>
    <mergeCell ref="A84:I84"/>
    <mergeCell ref="I66:J66"/>
    <mergeCell ref="I85:J85"/>
    <mergeCell ref="A3:B3"/>
    <mergeCell ref="A4:I4"/>
    <mergeCell ref="A5:I5"/>
    <mergeCell ref="C22:D22"/>
    <mergeCell ref="A25:B25"/>
    <mergeCell ref="I3:J3"/>
    <mergeCell ref="I25:J25"/>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workbookViewId="0">
      <selection sqref="A1:K26"/>
    </sheetView>
  </sheetViews>
  <sheetFormatPr defaultColWidth="90.7109375" defaultRowHeight="15"/>
  <cols>
    <col min="1" max="1" width="7.7109375" bestFit="1" customWidth="1"/>
    <col min="2" max="2" width="44.5703125" bestFit="1" customWidth="1"/>
    <col min="3" max="11" width="4.42578125" bestFit="1" customWidth="1"/>
  </cols>
  <sheetData>
    <row r="1" spans="1:11">
      <c r="A1" s="208" t="s">
        <v>110</v>
      </c>
      <c r="B1" s="209"/>
      <c r="C1" s="209"/>
      <c r="D1" s="209"/>
      <c r="E1" s="209"/>
      <c r="F1" s="209"/>
      <c r="G1" s="209"/>
      <c r="H1" s="209"/>
      <c r="I1" s="209"/>
      <c r="J1" s="209"/>
      <c r="K1" s="210"/>
    </row>
    <row r="2" spans="1:11">
      <c r="A2" s="211" t="s">
        <v>111</v>
      </c>
      <c r="B2" s="212"/>
      <c r="C2" s="213"/>
      <c r="D2" s="214"/>
      <c r="E2" s="214"/>
      <c r="F2" s="214"/>
      <c r="G2" s="214"/>
      <c r="H2" s="214"/>
      <c r="I2" s="214"/>
      <c r="J2" s="214"/>
      <c r="K2" s="215"/>
    </row>
    <row r="3" spans="1:11">
      <c r="A3" s="133"/>
      <c r="B3" s="133"/>
      <c r="C3" s="134" t="s">
        <v>112</v>
      </c>
      <c r="D3" s="134" t="s">
        <v>113</v>
      </c>
      <c r="E3" s="134" t="s">
        <v>114</v>
      </c>
      <c r="F3" s="134" t="s">
        <v>115</v>
      </c>
      <c r="G3" s="135" t="s">
        <v>116</v>
      </c>
      <c r="H3" s="135" t="s">
        <v>117</v>
      </c>
      <c r="I3" s="136">
        <v>4</v>
      </c>
      <c r="J3" s="134" t="s">
        <v>118</v>
      </c>
      <c r="K3" s="135" t="s">
        <v>119</v>
      </c>
    </row>
    <row r="4" spans="1:11">
      <c r="A4" s="137" t="s">
        <v>120</v>
      </c>
      <c r="B4" s="137" t="s">
        <v>121</v>
      </c>
      <c r="C4" s="138">
        <v>1.78</v>
      </c>
      <c r="D4" s="138">
        <v>1.73</v>
      </c>
      <c r="E4" s="138">
        <v>1.69</v>
      </c>
      <c r="F4" s="138">
        <v>1.6</v>
      </c>
      <c r="G4" s="138">
        <v>1.51</v>
      </c>
      <c r="H4" s="138">
        <v>1.5</v>
      </c>
      <c r="I4" s="138">
        <v>1.56</v>
      </c>
      <c r="J4" s="138">
        <v>1.4</v>
      </c>
      <c r="K4" s="138">
        <v>1.36</v>
      </c>
    </row>
    <row r="5" spans="1:11">
      <c r="A5" s="137" t="s">
        <v>122</v>
      </c>
      <c r="B5" s="137" t="s">
        <v>123</v>
      </c>
      <c r="C5" s="138">
        <v>1.27</v>
      </c>
      <c r="D5" s="138">
        <v>1.23</v>
      </c>
      <c r="E5" s="138">
        <v>1.2</v>
      </c>
      <c r="F5" s="138">
        <v>1.1299999999999999</v>
      </c>
      <c r="G5" s="138">
        <v>1.05</v>
      </c>
      <c r="H5" s="138">
        <v>1.05</v>
      </c>
      <c r="I5" s="138">
        <v>1.0900000000000001</v>
      </c>
      <c r="J5" s="138">
        <v>0.96</v>
      </c>
      <c r="K5" s="138">
        <v>0.93</v>
      </c>
    </row>
    <row r="6" spans="1:11" ht="27">
      <c r="A6" s="137" t="s">
        <v>124</v>
      </c>
      <c r="B6" s="137" t="s">
        <v>125</v>
      </c>
      <c r="C6" s="138">
        <v>1.27</v>
      </c>
      <c r="D6" s="138">
        <v>1.23</v>
      </c>
      <c r="E6" s="138">
        <v>1.2</v>
      </c>
      <c r="F6" s="138">
        <v>1.1299999999999999</v>
      </c>
      <c r="G6" s="138">
        <v>1.05</v>
      </c>
      <c r="H6" s="138">
        <v>1.05</v>
      </c>
      <c r="I6" s="138">
        <v>1.0900000000000001</v>
      </c>
      <c r="J6" s="138">
        <v>0.96</v>
      </c>
      <c r="K6" s="138">
        <v>0.93</v>
      </c>
    </row>
    <row r="7" spans="1:11">
      <c r="A7" s="137" t="s">
        <v>126</v>
      </c>
      <c r="B7" s="137" t="s">
        <v>127</v>
      </c>
      <c r="C7" s="138">
        <v>1.25</v>
      </c>
      <c r="D7" s="138">
        <v>1.22</v>
      </c>
      <c r="E7" s="138">
        <v>1.17</v>
      </c>
      <c r="F7" s="138">
        <v>1.1100000000000001</v>
      </c>
      <c r="G7" s="138">
        <v>1.03</v>
      </c>
      <c r="H7" s="138">
        <v>1.03</v>
      </c>
      <c r="I7" s="138">
        <v>1.08</v>
      </c>
      <c r="J7" s="138">
        <v>0.93</v>
      </c>
      <c r="K7" s="138">
        <v>0.91</v>
      </c>
    </row>
    <row r="8" spans="1:11">
      <c r="A8" s="137" t="s">
        <v>128</v>
      </c>
      <c r="B8" s="137" t="s">
        <v>129</v>
      </c>
      <c r="C8" s="138">
        <v>1.2</v>
      </c>
      <c r="D8" s="138">
        <v>1.1499999999999999</v>
      </c>
      <c r="E8" s="138">
        <v>1.1100000000000001</v>
      </c>
      <c r="F8" s="138">
        <v>1.04</v>
      </c>
      <c r="G8" s="138">
        <v>0.93</v>
      </c>
      <c r="H8" s="138">
        <v>0.93</v>
      </c>
      <c r="I8" s="138">
        <v>1</v>
      </c>
      <c r="J8" s="138">
        <v>0.82</v>
      </c>
      <c r="K8" s="138">
        <v>0.79</v>
      </c>
    </row>
    <row r="9" spans="1:11">
      <c r="A9" s="137" t="s">
        <v>130</v>
      </c>
      <c r="B9" s="137" t="s">
        <v>131</v>
      </c>
      <c r="C9" s="138">
        <v>1.28</v>
      </c>
      <c r="D9" s="138">
        <v>1.23</v>
      </c>
      <c r="E9" s="138">
        <v>1.2</v>
      </c>
      <c r="F9" s="138">
        <v>1.1299999999999999</v>
      </c>
      <c r="G9" s="138">
        <v>1.04</v>
      </c>
      <c r="H9" s="138">
        <v>1.01</v>
      </c>
      <c r="I9" s="138">
        <v>1.08</v>
      </c>
      <c r="J9" s="138">
        <v>0.91</v>
      </c>
      <c r="K9" s="138">
        <v>0.88</v>
      </c>
    </row>
    <row r="10" spans="1:11">
      <c r="A10" s="137" t="s">
        <v>132</v>
      </c>
      <c r="B10" s="137" t="s">
        <v>133</v>
      </c>
      <c r="C10" s="138">
        <v>0.76</v>
      </c>
      <c r="D10" s="138">
        <v>0.73</v>
      </c>
      <c r="E10" s="138">
        <v>0.68</v>
      </c>
      <c r="F10" s="138">
        <v>0.64</v>
      </c>
      <c r="G10" s="138">
        <v>0.55000000000000004</v>
      </c>
      <c r="H10" s="138">
        <v>0.56999999999999995</v>
      </c>
      <c r="I10" s="138">
        <v>0.62</v>
      </c>
      <c r="J10" s="138">
        <v>0.47</v>
      </c>
      <c r="K10" s="138">
        <v>0.45</v>
      </c>
    </row>
    <row r="11" spans="1:11">
      <c r="A11" s="137" t="s">
        <v>134</v>
      </c>
      <c r="B11" s="137" t="s">
        <v>135</v>
      </c>
      <c r="C11" s="138">
        <v>0.75</v>
      </c>
      <c r="D11" s="138">
        <v>0.71</v>
      </c>
      <c r="E11" s="138">
        <v>0.68</v>
      </c>
      <c r="F11" s="138">
        <v>0.63</v>
      </c>
      <c r="G11" s="138">
        <v>0.55000000000000004</v>
      </c>
      <c r="H11" s="138">
        <v>0.55000000000000004</v>
      </c>
      <c r="I11" s="138">
        <v>0.61</v>
      </c>
      <c r="J11" s="138">
        <v>0.47</v>
      </c>
      <c r="K11" s="138">
        <v>0.43</v>
      </c>
    </row>
    <row r="12" spans="1:11">
      <c r="A12" s="137" t="s">
        <v>136</v>
      </c>
      <c r="B12" s="137" t="s">
        <v>137</v>
      </c>
      <c r="C12" s="138">
        <v>0.73</v>
      </c>
      <c r="D12" s="138">
        <v>0.7</v>
      </c>
      <c r="E12" s="138">
        <v>0.66</v>
      </c>
      <c r="F12" s="138">
        <v>0.61</v>
      </c>
      <c r="G12" s="138">
        <v>0.54</v>
      </c>
      <c r="H12" s="138">
        <v>0.54</v>
      </c>
      <c r="I12" s="138">
        <v>0.59</v>
      </c>
      <c r="J12" s="138">
        <v>0.45</v>
      </c>
      <c r="K12" s="139" t="s">
        <v>138</v>
      </c>
    </row>
    <row r="13" spans="1:11">
      <c r="A13" s="137" t="s">
        <v>139</v>
      </c>
      <c r="B13" s="137" t="s">
        <v>140</v>
      </c>
      <c r="C13" s="138">
        <v>0.73</v>
      </c>
      <c r="D13" s="138">
        <v>0.7</v>
      </c>
      <c r="E13" s="138">
        <v>0.66</v>
      </c>
      <c r="F13" s="138">
        <v>0.61</v>
      </c>
      <c r="G13" s="138">
        <v>0.54</v>
      </c>
      <c r="H13" s="138">
        <v>0.54</v>
      </c>
      <c r="I13" s="138">
        <v>0.59</v>
      </c>
      <c r="J13" s="138">
        <v>0.45</v>
      </c>
      <c r="K13" s="138">
        <v>0.42</v>
      </c>
    </row>
    <row r="14" spans="1:11">
      <c r="A14" s="137" t="s">
        <v>141</v>
      </c>
      <c r="B14" s="137" t="s">
        <v>142</v>
      </c>
      <c r="C14" s="138">
        <v>1.2</v>
      </c>
      <c r="D14" s="138">
        <v>1.1499999999999999</v>
      </c>
      <c r="E14" s="138">
        <v>1.1100000000000001</v>
      </c>
      <c r="F14" s="138">
        <v>1.04</v>
      </c>
      <c r="G14" s="138">
        <v>0.93</v>
      </c>
      <c r="H14" s="138">
        <v>0.93</v>
      </c>
      <c r="I14" s="138">
        <v>1</v>
      </c>
      <c r="J14" s="138">
        <v>0.82</v>
      </c>
      <c r="K14" s="138">
        <v>0.79</v>
      </c>
    </row>
    <row r="15" spans="1:11">
      <c r="A15" s="137" t="s">
        <v>143</v>
      </c>
      <c r="B15" s="137" t="s">
        <v>144</v>
      </c>
      <c r="C15" s="138">
        <v>1.22</v>
      </c>
      <c r="D15" s="138">
        <v>1.17</v>
      </c>
      <c r="E15" s="138">
        <v>1.1399999999999999</v>
      </c>
      <c r="F15" s="138">
        <v>1.07</v>
      </c>
      <c r="G15" s="138">
        <v>0.99</v>
      </c>
      <c r="H15" s="138">
        <v>0.99</v>
      </c>
      <c r="I15" s="138">
        <v>1.07</v>
      </c>
      <c r="J15" s="138">
        <v>0.9</v>
      </c>
      <c r="K15" s="138">
        <v>0.87</v>
      </c>
    </row>
    <row r="16" spans="1:11">
      <c r="A16" s="137" t="s">
        <v>145</v>
      </c>
      <c r="B16" s="137" t="s">
        <v>146</v>
      </c>
      <c r="C16" s="138">
        <v>1.77</v>
      </c>
      <c r="D16" s="138">
        <v>1.73</v>
      </c>
      <c r="E16" s="138">
        <v>1.69</v>
      </c>
      <c r="F16" s="138">
        <v>1.62</v>
      </c>
      <c r="G16" s="138">
        <v>1.5</v>
      </c>
      <c r="H16" s="139" t="s">
        <v>138</v>
      </c>
      <c r="I16" s="138">
        <v>1.57</v>
      </c>
      <c r="J16" s="138">
        <v>1.39</v>
      </c>
      <c r="K16" s="139" t="s">
        <v>138</v>
      </c>
    </row>
    <row r="17" spans="1:11">
      <c r="A17" s="137" t="s">
        <v>147</v>
      </c>
      <c r="B17" s="137" t="s">
        <v>148</v>
      </c>
      <c r="C17" s="138">
        <v>1.39</v>
      </c>
      <c r="D17" s="138">
        <v>1.34</v>
      </c>
      <c r="E17" s="138">
        <v>1.3</v>
      </c>
      <c r="F17" s="138">
        <v>1.23</v>
      </c>
      <c r="G17" s="138">
        <v>1.1299999999999999</v>
      </c>
      <c r="H17" s="138">
        <v>1.1100000000000001</v>
      </c>
      <c r="I17" s="138">
        <v>1.19</v>
      </c>
      <c r="J17" s="138">
        <v>1.02</v>
      </c>
      <c r="K17" s="138">
        <v>0.96</v>
      </c>
    </row>
    <row r="18" spans="1:11">
      <c r="A18" s="137" t="s">
        <v>149</v>
      </c>
      <c r="B18" s="137" t="s">
        <v>150</v>
      </c>
      <c r="C18" s="138">
        <v>1.22</v>
      </c>
      <c r="D18" s="138">
        <v>1.17</v>
      </c>
      <c r="E18" s="138">
        <v>1.1399999999999999</v>
      </c>
      <c r="F18" s="138">
        <v>1.07</v>
      </c>
      <c r="G18" s="138">
        <v>0.99</v>
      </c>
      <c r="H18" s="138">
        <v>0.99</v>
      </c>
      <c r="I18" s="138">
        <v>1.07</v>
      </c>
      <c r="J18" s="138">
        <v>0.9</v>
      </c>
      <c r="K18" s="138">
        <v>0.87</v>
      </c>
    </row>
    <row r="19" spans="1:11">
      <c r="A19" s="137" t="s">
        <v>151</v>
      </c>
      <c r="B19" s="137" t="s">
        <v>152</v>
      </c>
      <c r="C19" s="138">
        <v>0.97</v>
      </c>
      <c r="D19" s="138">
        <v>0.93</v>
      </c>
      <c r="E19" s="138">
        <v>0.88</v>
      </c>
      <c r="F19" s="138">
        <v>0.83</v>
      </c>
      <c r="G19" s="138">
        <v>0.74</v>
      </c>
      <c r="H19" s="138">
        <v>0.75</v>
      </c>
      <c r="I19" s="138">
        <v>0.79</v>
      </c>
      <c r="J19" s="138">
        <v>0.65</v>
      </c>
      <c r="K19" s="138">
        <v>0.63</v>
      </c>
    </row>
    <row r="20" spans="1:11">
      <c r="A20" s="137" t="s">
        <v>153</v>
      </c>
      <c r="B20" s="137" t="s">
        <v>154</v>
      </c>
      <c r="C20" s="138">
        <v>1.32</v>
      </c>
      <c r="D20" s="138">
        <v>1.28</v>
      </c>
      <c r="E20" s="138">
        <v>1.25</v>
      </c>
      <c r="F20" s="138">
        <v>1.18</v>
      </c>
      <c r="G20" s="138">
        <v>1.1000000000000001</v>
      </c>
      <c r="H20" s="138">
        <v>1.0900000000000001</v>
      </c>
      <c r="I20" s="138">
        <v>1.17</v>
      </c>
      <c r="J20" s="138">
        <v>1.01</v>
      </c>
      <c r="K20" s="138">
        <v>0.97</v>
      </c>
    </row>
    <row r="21" spans="1:11">
      <c r="A21" s="137" t="s">
        <v>155</v>
      </c>
      <c r="B21" s="137" t="s">
        <v>156</v>
      </c>
      <c r="C21" s="138">
        <v>1.1100000000000001</v>
      </c>
      <c r="D21" s="138">
        <v>1.06</v>
      </c>
      <c r="E21" s="138">
        <v>1.03</v>
      </c>
      <c r="F21" s="138">
        <v>0.97</v>
      </c>
      <c r="G21" s="138">
        <v>0.89</v>
      </c>
      <c r="H21" s="138">
        <v>0.88</v>
      </c>
      <c r="I21" s="138">
        <v>0.96</v>
      </c>
      <c r="J21" s="138">
        <v>0.8</v>
      </c>
      <c r="K21" s="138">
        <v>0.76</v>
      </c>
    </row>
    <row r="22" spans="1:11">
      <c r="A22" s="137" t="s">
        <v>157</v>
      </c>
      <c r="B22" s="137" t="s">
        <v>158</v>
      </c>
      <c r="C22" s="138">
        <v>0.92</v>
      </c>
      <c r="D22" s="138">
        <v>0.89</v>
      </c>
      <c r="E22" s="138">
        <v>0.86</v>
      </c>
      <c r="F22" s="138">
        <v>0.82</v>
      </c>
      <c r="G22" s="138">
        <v>0.78</v>
      </c>
      <c r="H22" s="138">
        <v>0.78</v>
      </c>
      <c r="I22" s="138">
        <v>0.81</v>
      </c>
      <c r="J22" s="138">
        <v>0.73</v>
      </c>
      <c r="K22" s="138">
        <v>0.68</v>
      </c>
    </row>
    <row r="23" spans="1:11">
      <c r="A23" s="137" t="s">
        <v>159</v>
      </c>
      <c r="B23" s="137" t="s">
        <v>160</v>
      </c>
      <c r="C23" s="138">
        <v>1.22</v>
      </c>
      <c r="D23" s="138">
        <v>1.17</v>
      </c>
      <c r="E23" s="138">
        <v>1.1399999999999999</v>
      </c>
      <c r="F23" s="138">
        <v>1.07</v>
      </c>
      <c r="G23" s="138">
        <v>0.99</v>
      </c>
      <c r="H23" s="138">
        <v>0.99</v>
      </c>
      <c r="I23" s="138">
        <v>1.07</v>
      </c>
      <c r="J23" s="138">
        <v>0.9</v>
      </c>
      <c r="K23" s="138">
        <v>0.87</v>
      </c>
    </row>
    <row r="24" spans="1:11">
      <c r="A24" s="137" t="s">
        <v>161</v>
      </c>
      <c r="B24" s="137" t="s">
        <v>162</v>
      </c>
      <c r="C24" s="138">
        <v>0.72</v>
      </c>
      <c r="D24" s="138">
        <v>0.68</v>
      </c>
      <c r="E24" s="138">
        <v>0.63</v>
      </c>
      <c r="F24" s="138">
        <v>0.6</v>
      </c>
      <c r="G24" s="138">
        <v>0.51</v>
      </c>
      <c r="H24" s="138">
        <v>0.52</v>
      </c>
      <c r="I24" s="138">
        <v>0.57999999999999996</v>
      </c>
      <c r="J24" s="138">
        <v>0.43</v>
      </c>
      <c r="K24" s="138">
        <v>0.41</v>
      </c>
    </row>
    <row r="25" spans="1:11">
      <c r="A25" s="137" t="s">
        <v>163</v>
      </c>
      <c r="B25" s="137" t="s">
        <v>164</v>
      </c>
      <c r="C25" s="138">
        <v>0.71</v>
      </c>
      <c r="D25" s="138">
        <v>0.67</v>
      </c>
      <c r="E25" s="138">
        <v>0.63</v>
      </c>
      <c r="F25" s="138">
        <v>0.59</v>
      </c>
      <c r="G25" s="138">
        <v>0.51</v>
      </c>
      <c r="H25" s="138">
        <v>0.51</v>
      </c>
      <c r="I25" s="138">
        <v>0.56000000000000005</v>
      </c>
      <c r="J25" s="138">
        <v>0.43</v>
      </c>
      <c r="K25" s="138">
        <v>0.39</v>
      </c>
    </row>
    <row r="26" spans="1:11">
      <c r="A26" s="137" t="s">
        <v>165</v>
      </c>
      <c r="B26" s="137" t="s">
        <v>166</v>
      </c>
      <c r="C26" s="138">
        <v>0.4</v>
      </c>
      <c r="D26" s="138">
        <v>0.4</v>
      </c>
      <c r="E26" s="138">
        <v>0.4</v>
      </c>
      <c r="F26" s="138">
        <v>0.4</v>
      </c>
      <c r="G26" s="138">
        <v>0.4</v>
      </c>
      <c r="H26" s="138">
        <v>0.4</v>
      </c>
      <c r="I26" s="138">
        <v>0.4</v>
      </c>
      <c r="J26" s="138">
        <v>0.4</v>
      </c>
      <c r="K26" s="138">
        <v>0.4</v>
      </c>
    </row>
  </sheetData>
  <mergeCells count="3">
    <mergeCell ref="A1:K1"/>
    <mergeCell ref="A2:B2"/>
    <mergeCell ref="C2:K2"/>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1"/>
  <sheetViews>
    <sheetView showGridLines="0" zoomScale="130" zoomScaleNormal="130" workbookViewId="0">
      <selection activeCell="G41" sqref="G41"/>
    </sheetView>
  </sheetViews>
  <sheetFormatPr defaultRowHeight="15"/>
  <cols>
    <col min="1" max="1" width="5.28515625" customWidth="1"/>
    <col min="2" max="2" width="96" customWidth="1"/>
    <col min="4" max="4" width="5.28515625" customWidth="1"/>
    <col min="5" max="5" width="5" customWidth="1"/>
    <col min="6" max="6" width="10.42578125" style="5" bestFit="1" customWidth="1"/>
    <col min="7" max="7" width="9.28515625" style="5"/>
    <col min="8" max="8" width="5.42578125" style="5" customWidth="1"/>
    <col min="9" max="9" width="3.28515625" style="5" customWidth="1"/>
    <col min="10" max="10" width="2.28515625" style="5" customWidth="1"/>
    <col min="11" max="12" width="9.28515625" style="5"/>
    <col min="14" max="14" width="30.28515625" bestFit="1" customWidth="1"/>
  </cols>
  <sheetData>
    <row r="1" spans="1:14">
      <c r="A1" s="186">
        <v>1.0449999999999999</v>
      </c>
      <c r="F1" s="182" t="s">
        <v>197</v>
      </c>
      <c r="G1" s="182" t="s">
        <v>197</v>
      </c>
      <c r="K1" s="182" t="s">
        <v>198</v>
      </c>
      <c r="L1" s="182" t="s">
        <v>198</v>
      </c>
    </row>
    <row r="2" spans="1:14">
      <c r="F2" s="185" t="s">
        <v>201</v>
      </c>
    </row>
    <row r="3" spans="1:14">
      <c r="A3" s="140">
        <v>1</v>
      </c>
      <c r="B3" s="141" t="s">
        <v>167</v>
      </c>
    </row>
    <row r="4" spans="1:14">
      <c r="A4" s="142"/>
      <c r="B4" s="143" t="str">
        <f>"A. Buildings and structures regulated by the HCBC - $" &amp; K4 &amp; " ($" &amp; L4 &amp; " with surcharge and technology fee included)"</f>
        <v>A. Buildings and structures regulated by the HCBC - $54.82 ($58.11 with surcharge and technology fee included)</v>
      </c>
      <c r="F4" s="179">
        <v>52.46</v>
      </c>
      <c r="G4" s="179"/>
      <c r="K4" s="5">
        <f>ROUND(F4*A1,2)</f>
        <v>54.82</v>
      </c>
      <c r="L4" s="5">
        <f>K4+ROUND(K4*0.01,2)+ROUND(K4*0.05,2)</f>
        <v>58.11</v>
      </c>
      <c r="N4" s="184" t="s">
        <v>191</v>
      </c>
    </row>
    <row r="5" spans="1:14">
      <c r="A5" s="142"/>
      <c r="B5" s="143" t="str">
        <f>"B. Buildings and structures regulated by the OBBC - $" &amp; K5 &amp; " ($" &amp; L5 &amp; " with surcharge and technology fee included)"</f>
        <v>B. Buildings and structures regulated by the OBBC - $177.87 ($192.1 with surcharge and technology fee included)</v>
      </c>
      <c r="F5" s="179">
        <v>170.21</v>
      </c>
      <c r="G5" s="179"/>
      <c r="K5" s="5">
        <f>ROUND(F5*A1,2)</f>
        <v>177.87</v>
      </c>
      <c r="L5" s="5">
        <f>K5+ROUND(K5*0.03,2)+ROUND(K5*0.05,2)</f>
        <v>192.10000000000002</v>
      </c>
      <c r="N5" s="184" t="s">
        <v>192</v>
      </c>
    </row>
    <row r="6" spans="1:14">
      <c r="A6" s="142"/>
      <c r="B6" s="144" t="str">
        <f>CONCATENATE("C. Certificate of Completion of Permit (CC) – for all permits where a CO is not required")</f>
        <v>C. Certificate of Completion of Permit (CC) – for all permits where a CO is not required</v>
      </c>
    </row>
    <row r="7" spans="1:14">
      <c r="A7" s="142"/>
      <c r="B7" s="144" t="str">
        <f>"Residential - $" &amp; K7 &amp; " ($" &amp; L7 &amp; " with surcharge &amp; technology fee included)"</f>
        <v>Residential - $30.45 ($32.27 with surcharge &amp; technology fee included)</v>
      </c>
      <c r="F7" s="179">
        <v>29.14</v>
      </c>
      <c r="K7" s="5">
        <f>ROUND(F7*A1,2)</f>
        <v>30.45</v>
      </c>
      <c r="L7" s="5">
        <f>K7+ROUND(K7*0.01,2)+ROUND(K7*0.05,2)</f>
        <v>32.270000000000003</v>
      </c>
      <c r="N7" s="184" t="s">
        <v>191</v>
      </c>
    </row>
    <row r="8" spans="1:14">
      <c r="A8" s="145"/>
      <c r="B8" s="146" t="str">
        <f>"Commercial - $" &amp; K8 &amp; " ($" &amp; L8 &amp; " with surcharge &amp; technology fee included)"</f>
        <v>Commercial - $30.45 ($32.88 with surcharge &amp; technology fee included)</v>
      </c>
      <c r="F8" s="179">
        <v>29.14</v>
      </c>
      <c r="K8" s="5">
        <f>ROUND(F8*A1,2)</f>
        <v>30.45</v>
      </c>
      <c r="L8" s="5">
        <f>K8+ROUND(K8*0.03,2)+ROUND(K8*0.05,2)</f>
        <v>32.880000000000003</v>
      </c>
      <c r="N8" s="184" t="s">
        <v>192</v>
      </c>
    </row>
    <row r="9" spans="1:14">
      <c r="A9" s="140">
        <v>2</v>
      </c>
      <c r="B9" s="141" t="s">
        <v>168</v>
      </c>
    </row>
    <row r="10" spans="1:14">
      <c r="A10" s="142"/>
      <c r="B10" s="144" t="s">
        <v>169</v>
      </c>
    </row>
    <row r="11" spans="1:14">
      <c r="A11" s="142"/>
      <c r="B11" s="144" t="str">
        <f>"      $" &amp; K11 &amp; " - 1st 30 days + $" &amp; L11 &amp; " each additional 30 days"</f>
        <v xml:space="preserve">      $138.88 - 1st 30 days + $71.89 each additional 30 days</v>
      </c>
      <c r="F11" s="179">
        <v>132.9</v>
      </c>
      <c r="G11" s="179">
        <v>68.790000000000006</v>
      </c>
      <c r="K11" s="5">
        <f>ROUND(F11*A1,2)</f>
        <v>138.88</v>
      </c>
      <c r="L11" s="5">
        <f>ROUND(G11*A1,2)</f>
        <v>71.89</v>
      </c>
    </row>
    <row r="12" spans="1:14">
      <c r="A12" s="142"/>
      <c r="B12" s="144" t="str">
        <f>"      If additional TCO is required $" &amp; K12 &amp; " – 1st co days + $" &amp; L12 &amp; " each additional 30 days"</f>
        <v xml:space="preserve">      If additional TCO is required $277.75 – 1st co days + $138.88 each additional 30 days</v>
      </c>
      <c r="F12" s="179">
        <v>265.79000000000002</v>
      </c>
      <c r="G12" s="179">
        <v>132.9</v>
      </c>
      <c r="K12" s="5">
        <f>ROUND(F12*A1,2)</f>
        <v>277.75</v>
      </c>
      <c r="L12" s="5">
        <f>ROUND(G12*A1,2)</f>
        <v>138.88</v>
      </c>
    </row>
    <row r="13" spans="1:14">
      <c r="A13" s="142"/>
      <c r="B13" s="144" t="s">
        <v>170</v>
      </c>
    </row>
    <row r="14" spans="1:14">
      <c r="A14" s="142"/>
      <c r="B14" s="144" t="str">
        <f>"      $" &amp; K14 &amp; " – 1st 30 days + $" &amp; L14 &amp; " each additional 30 days"</f>
        <v xml:space="preserve">      $277.75 – 1st 30 days + $138.88 each additional 30 days</v>
      </c>
      <c r="F14" s="179">
        <v>265.79000000000002</v>
      </c>
      <c r="G14" s="179">
        <v>132.9</v>
      </c>
      <c r="K14" s="5">
        <f>ROUND(F14*A1,2)</f>
        <v>277.75</v>
      </c>
      <c r="L14" s="5">
        <f>ROUND(G14*A1,2)</f>
        <v>138.88</v>
      </c>
    </row>
    <row r="15" spans="1:14">
      <c r="A15" s="142"/>
      <c r="B15" s="144" t="str">
        <f>"      If additional TCO is required $" &amp; K15 &amp; " – 1st co days + $" &amp; L15 &amp; " each additional 30 days"</f>
        <v xml:space="preserve">      If additional TCO is required $551.85 – 1st co days + $277.75 each additional 30 days</v>
      </c>
      <c r="F15" s="179">
        <v>528.09</v>
      </c>
      <c r="G15" s="179">
        <v>265.79000000000002</v>
      </c>
      <c r="K15" s="5">
        <f>ROUND(F15*A1,2)</f>
        <v>551.85</v>
      </c>
      <c r="L15" s="5">
        <f>ROUND(G15*A1,2)</f>
        <v>277.75</v>
      </c>
    </row>
    <row r="16" spans="1:14">
      <c r="A16" s="142"/>
      <c r="B16" s="144" t="s">
        <v>171</v>
      </c>
    </row>
    <row r="17" spans="1:16">
      <c r="A17" s="142"/>
      <c r="B17" s="144" t="str">
        <f>"     Residential - $" &amp; K17</f>
        <v xml:space="preserve">     Residential - $277.75</v>
      </c>
      <c r="F17" s="179">
        <v>265.79000000000002</v>
      </c>
      <c r="K17" s="5">
        <f>ROUND(F17*A1,2)</f>
        <v>277.75</v>
      </c>
    </row>
    <row r="18" spans="1:16">
      <c r="A18" s="142"/>
      <c r="B18" s="144" t="str">
        <f>"     Commercial - $" &amp; K18 &amp; " to be paid in addition to TCO fee"</f>
        <v xml:space="preserve">     Commercial - $551.85 to be paid in addition to TCO fee</v>
      </c>
      <c r="F18" s="179">
        <v>528.09</v>
      </c>
      <c r="K18" s="5">
        <f>ROUND(F18*A1,2)</f>
        <v>551.85</v>
      </c>
    </row>
    <row r="19" spans="1:16">
      <c r="A19" s="142"/>
      <c r="B19" s="144" t="s">
        <v>172</v>
      </c>
    </row>
    <row r="20" spans="1:16">
      <c r="A20" s="142"/>
      <c r="B20" s="144" t="str">
        <f>"     Residential - $" &amp; K20</f>
        <v xml:space="preserve">     Residential - $277.75</v>
      </c>
      <c r="F20" s="179">
        <v>265.79000000000002</v>
      </c>
      <c r="K20" s="5">
        <f>ROUND(F20*A1,2)</f>
        <v>277.75</v>
      </c>
    </row>
    <row r="21" spans="1:16">
      <c r="A21" s="145"/>
      <c r="B21" s="146" t="str">
        <f>"     Commercial - $" &amp; K21</f>
        <v xml:space="preserve">     Commercial - $551.85</v>
      </c>
      <c r="F21" s="179">
        <v>528.09</v>
      </c>
      <c r="K21" s="5">
        <f>ROUND(F21*A1,2)</f>
        <v>551.85</v>
      </c>
    </row>
    <row r="22" spans="1:16" ht="24.75" customHeight="1">
      <c r="A22" s="147">
        <v>3</v>
      </c>
      <c r="B22" s="148" t="s">
        <v>173</v>
      </c>
    </row>
    <row r="23" spans="1:16">
      <c r="A23" s="147">
        <v>4</v>
      </c>
      <c r="B23" s="148" t="str">
        <f>CONCATENATE("Time Extensions (Section HC.A105.6) each - $",K23)</f>
        <v>Time Extensions (Section HC.A105.6) each - $100</v>
      </c>
      <c r="F23" s="5">
        <v>100</v>
      </c>
      <c r="K23" s="5">
        <v>100</v>
      </c>
      <c r="N23" s="184" t="s">
        <v>200</v>
      </c>
    </row>
    <row r="24" spans="1:16" ht="24.75" customHeight="1">
      <c r="A24" s="147">
        <v>5</v>
      </c>
      <c r="B24" s="148" t="s">
        <v>174</v>
      </c>
    </row>
    <row r="25" spans="1:16" ht="12.75" customHeight="1">
      <c r="A25" s="140">
        <v>6</v>
      </c>
      <c r="B25" s="141" t="s">
        <v>175</v>
      </c>
    </row>
    <row r="26" spans="1:16">
      <c r="A26" s="142"/>
      <c r="B26" s="144" t="str">
        <f>"Documents up to 8-1/2 X 14 (including Specs.)                       $" &amp; K26 &amp; "/side"</f>
        <v>Documents up to 8-1/2 X 14 (including Specs.)                       $2.51/side</v>
      </c>
      <c r="F26" s="179">
        <v>2.4</v>
      </c>
      <c r="K26" s="5">
        <f>ROUND(F26*A1,2)</f>
        <v>2.5099999999999998</v>
      </c>
    </row>
    <row r="27" spans="1:16">
      <c r="A27" s="145"/>
      <c r="B27" s="146" t="str">
        <f>"Documents larger than 8-1/2 X 14 (including Specs.)             $" &amp; K27 &amp; "/side"</f>
        <v>Documents larger than 8-1/2 X 14 (including Specs.)             $7.33/side</v>
      </c>
      <c r="F27" s="179">
        <v>7.01</v>
      </c>
      <c r="K27" s="5">
        <f>ROUND(F27*A1,2)</f>
        <v>7.33</v>
      </c>
    </row>
    <row r="28" spans="1:16">
      <c r="A28" s="140">
        <v>7</v>
      </c>
      <c r="B28" s="141" t="s">
        <v>176</v>
      </c>
    </row>
    <row r="29" spans="1:16">
      <c r="A29" s="142"/>
      <c r="B29" s="144" t="str">
        <f>"Residential - $" &amp; K29 &amp; " ($" &amp; L29 &amp; " with surcharge &amp; technology fee included)"</f>
        <v>Residential - $138.88 ($147.21 with surcharge &amp; technology fee included)</v>
      </c>
      <c r="F29" s="179">
        <v>132.9</v>
      </c>
      <c r="K29" s="5">
        <f>ROUND(F29*A1,2)</f>
        <v>138.88</v>
      </c>
      <c r="L29" s="5">
        <f>ROUND(K29,2)+ROUND(K29*0.01,2)+ROUND(K29*0.05,2)</f>
        <v>147.20999999999998</v>
      </c>
      <c r="N29" s="184" t="s">
        <v>191</v>
      </c>
    </row>
    <row r="30" spans="1:16" ht="16.5">
      <c r="A30" s="149"/>
      <c r="B30" s="146" t="str">
        <f>"Commercial - $" &amp; K30 &amp; " ($" &amp; L30 &amp; " with surcharge &amp; technology fee included)"</f>
        <v>Commercial - $177.87 ($192.1 with surcharge &amp; technology fee included)</v>
      </c>
      <c r="F30" s="179">
        <v>170.21</v>
      </c>
      <c r="K30" s="5">
        <f>ROUND(F30*A1,2)</f>
        <v>177.87</v>
      </c>
      <c r="L30" s="5">
        <f>ROUND(K30,2)+ROUND(K30*0.03,2)+ROUND(K30*0.05,2)</f>
        <v>192.10000000000002</v>
      </c>
      <c r="N30" s="184" t="s">
        <v>192</v>
      </c>
    </row>
    <row r="31" spans="1:16">
      <c r="A31" s="140">
        <v>8</v>
      </c>
      <c r="B31" s="141" t="str">
        <f>"After Hours Inspection (OBC Permits) $" &amp; K31 &amp;" per hour"</f>
        <v>After Hours Inspection (OBC Permits) $169.33 per hour</v>
      </c>
      <c r="F31" s="179">
        <v>162.04</v>
      </c>
      <c r="K31" s="5">
        <f>ROUND(F31*A1,2)</f>
        <v>169.33</v>
      </c>
    </row>
    <row r="32" spans="1:16">
      <c r="A32" s="145"/>
      <c r="B32" s="146" t="str">
        <f>"    Minimum fee $" &amp; K32 &amp; " to be paid at time of scheduling inspection + 3% $" &amp; L32 &amp; " + 5% $" &amp; M32 &amp; " =$" &amp; ROUND(K32+L32+M32,2)</f>
        <v xml:space="preserve">    Minimum fee $677.32 to be paid at time of scheduling inspection + 3% $20.32 + 5% $33.87 =$731.51</v>
      </c>
      <c r="F32" s="183" t="s">
        <v>199</v>
      </c>
      <c r="K32" s="5">
        <f>K31*4</f>
        <v>677.32</v>
      </c>
      <c r="L32" s="5">
        <f>ROUND(K32*0.03,2)</f>
        <v>20.32</v>
      </c>
      <c r="M32" s="5">
        <f>ROUND(K32*0.05,2)</f>
        <v>33.869999999999997</v>
      </c>
      <c r="N32" s="5"/>
      <c r="P32" t="s">
        <v>187</v>
      </c>
    </row>
    <row r="33" spans="1:14">
      <c r="A33" s="140">
        <v>9</v>
      </c>
      <c r="B33" s="141" t="s">
        <v>177</v>
      </c>
    </row>
    <row r="34" spans="1:14">
      <c r="A34" s="142"/>
      <c r="B34" s="144" t="str">
        <f>"Residential - $" &amp; K34 &amp;" (no fractions thereof – rounded up)"</f>
        <v>Residential - $138.88 (no fractions thereof – rounded up)</v>
      </c>
      <c r="F34" s="179">
        <v>132.9</v>
      </c>
      <c r="K34" s="5">
        <f>ROUND(F34*A1,2)</f>
        <v>138.88</v>
      </c>
      <c r="L34" s="5">
        <f>K34+ROUND(K34*0.01,2)+ROUND(K34*0.05,2)</f>
        <v>147.20999999999998</v>
      </c>
    </row>
    <row r="35" spans="1:14">
      <c r="A35" s="145"/>
      <c r="B35" s="146" t="str">
        <f>"Commercial - $" &amp; K35 &amp;" (no fractions thereof – rounded up)"</f>
        <v>Commercial - $277.75 (no fractions thereof – rounded up)</v>
      </c>
      <c r="F35" s="179">
        <v>265.79000000000002</v>
      </c>
      <c r="K35" s="5">
        <f>ROUND(F35*A1,2)</f>
        <v>277.75</v>
      </c>
      <c r="L35" s="5">
        <f>K35+ROUND(K35*0.03,2)+ROUND(K35*0.05,2)</f>
        <v>299.96999999999997</v>
      </c>
    </row>
    <row r="36" spans="1:14">
      <c r="A36" s="140">
        <v>10</v>
      </c>
      <c r="B36" s="141" t="s">
        <v>178</v>
      </c>
    </row>
    <row r="37" spans="1:14">
      <c r="A37" s="142"/>
      <c r="B37" s="144" t="str">
        <f>"Residential - $" &amp; K37 &amp; " ($" &amp; L37 &amp; " with surcharge &amp; technology fee included)"</f>
        <v>Residential - $210.76 ($223.41 with surcharge &amp; technology fee included)</v>
      </c>
      <c r="F37" s="179">
        <v>201.68</v>
      </c>
      <c r="K37" s="5">
        <f>ROUND(F37*A1,2)</f>
        <v>210.76</v>
      </c>
      <c r="L37" s="5">
        <f>K37+ROUND(K37*0.01,2)+ROUND(K37*0.05,2)</f>
        <v>223.41</v>
      </c>
      <c r="N37" s="184" t="s">
        <v>191</v>
      </c>
    </row>
    <row r="38" spans="1:14">
      <c r="A38" s="145"/>
      <c r="B38" s="146" t="str">
        <f>"Commercial - $" &amp; K38 &amp; " ($" &amp; L38 &amp; " with surcharge &amp; technology fee included)"</f>
        <v>Commercial - $414.19 ($447.33 with surcharge &amp; technology fee included)</v>
      </c>
      <c r="F38" s="179">
        <v>396.35</v>
      </c>
      <c r="K38" s="5">
        <f>ROUND(F38*A1,2)</f>
        <v>414.19</v>
      </c>
      <c r="L38" s="5">
        <f>K38+ROUND(K38*0.03,2)+ROUND(K38*0.05,2)</f>
        <v>447.33</v>
      </c>
      <c r="N38" s="184" t="s">
        <v>192</v>
      </c>
    </row>
    <row r="39" spans="1:14">
      <c r="A39" s="140">
        <v>11</v>
      </c>
      <c r="B39" s="141" t="s">
        <v>179</v>
      </c>
    </row>
    <row r="40" spans="1:14">
      <c r="A40" s="142"/>
      <c r="B40" s="144" t="str">
        <f>"Residential - $" &amp; K40 &amp; " ($" &amp; L40 &amp; " with surcharge &amp; technology fee included)"</f>
        <v>Residential - $138.88 ($147.21 with surcharge &amp; technology fee included)</v>
      </c>
      <c r="F40" s="179">
        <v>132.9</v>
      </c>
      <c r="K40" s="5">
        <f>ROUND(F40*A1,2)</f>
        <v>138.88</v>
      </c>
      <c r="L40" s="5">
        <f>K40+ROUND(K40*0.01,2)+ROUND(K40*0.05,2)</f>
        <v>147.20999999999998</v>
      </c>
      <c r="N40" s="184" t="s">
        <v>191</v>
      </c>
    </row>
    <row r="41" spans="1:14">
      <c r="A41" s="145"/>
      <c r="B41" s="146" t="str">
        <f>"Commercial - $" &amp; K41 &amp;"($" &amp; L41 &amp;" with surcharge &amp; technology fee included)"</f>
        <v>Commercial - $177.87($192.1 with surcharge &amp; technology fee included)</v>
      </c>
      <c r="F41" s="179">
        <v>170.21</v>
      </c>
      <c r="K41" s="5">
        <f>ROUND(F41*A1,2)</f>
        <v>177.87</v>
      </c>
      <c r="L41" s="5">
        <f>K41+ROUND(K41*0.03,2)+ROUND(K41*0.05,2)</f>
        <v>192.10000000000002</v>
      </c>
      <c r="N41" s="184" t="s">
        <v>192</v>
      </c>
    </row>
  </sheetData>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4"/>
  <sheetViews>
    <sheetView showGridLines="0" zoomScale="145" zoomScaleNormal="145" workbookViewId="0">
      <selection activeCell="A2" sqref="A2"/>
    </sheetView>
  </sheetViews>
  <sheetFormatPr defaultColWidth="72.28515625" defaultRowHeight="15"/>
  <cols>
    <col min="1" max="1" width="5.28515625" bestFit="1" customWidth="1"/>
    <col min="2" max="2" width="104.5703125" customWidth="1"/>
    <col min="3" max="3" width="5.5703125" customWidth="1"/>
    <col min="4" max="5" width="2.7109375" customWidth="1"/>
    <col min="6" max="6" width="8.42578125" bestFit="1" customWidth="1"/>
    <col min="7" max="7" width="5.28515625" customWidth="1"/>
    <col min="8" max="8" width="2.28515625" customWidth="1"/>
    <col min="9" max="9" width="3.42578125" customWidth="1"/>
    <col min="10" max="10" width="2.28515625" customWidth="1"/>
    <col min="11" max="12" width="8.42578125" bestFit="1" customWidth="1"/>
    <col min="13" max="13" width="6.7109375" customWidth="1"/>
  </cols>
  <sheetData>
    <row r="1" spans="1:14">
      <c r="A1" s="186">
        <v>1.0449999999999999</v>
      </c>
      <c r="F1" s="182" t="s">
        <v>197</v>
      </c>
      <c r="G1" s="182"/>
      <c r="H1" s="5"/>
      <c r="I1" s="5"/>
      <c r="J1" s="5"/>
      <c r="K1" s="182" t="s">
        <v>198</v>
      </c>
      <c r="L1" s="182" t="s">
        <v>198</v>
      </c>
    </row>
    <row r="2" spans="1:14">
      <c r="F2" s="185" t="s">
        <v>201</v>
      </c>
      <c r="G2" s="5"/>
      <c r="H2" s="5"/>
      <c r="I2" s="5"/>
      <c r="J2" s="5"/>
      <c r="K2" s="5"/>
      <c r="L2" s="5"/>
    </row>
    <row r="3" spans="1:14">
      <c r="A3" s="140">
        <v>1</v>
      </c>
      <c r="B3" s="141" t="s">
        <v>180</v>
      </c>
      <c r="F3" s="5"/>
      <c r="G3" s="5"/>
      <c r="H3" s="5"/>
      <c r="I3" s="5"/>
      <c r="J3" s="5"/>
      <c r="K3" s="5"/>
      <c r="L3" s="5"/>
    </row>
    <row r="4" spans="1:14">
      <c r="A4" s="147">
        <v>2</v>
      </c>
      <c r="B4" s="141" t="str">
        <f>"Rescinding a Revoked Permit Fee – (Section HC.A110.6) - $" &amp; K4 &amp;" or original fee whichever is less"</f>
        <v>Rescinding a Revoked Permit Fee – (Section HC.A110.6) - $369.16 or original fee whichever is less</v>
      </c>
      <c r="F4" s="179">
        <v>353.26</v>
      </c>
      <c r="G4" s="5"/>
      <c r="H4" s="5"/>
      <c r="I4" s="5"/>
      <c r="J4" s="5"/>
      <c r="K4" s="5">
        <f>ROUND(F4*A1,2)</f>
        <v>369.16</v>
      </c>
      <c r="L4" s="5"/>
    </row>
    <row r="5" spans="1:14">
      <c r="A5" s="140">
        <v>3</v>
      </c>
      <c r="B5" s="141" t="s">
        <v>181</v>
      </c>
      <c r="F5" s="5"/>
      <c r="G5" s="5"/>
      <c r="H5" s="5"/>
      <c r="I5" s="5"/>
      <c r="J5" s="5"/>
      <c r="K5" s="5"/>
      <c r="L5" s="5"/>
    </row>
    <row r="6" spans="1:14">
      <c r="A6" s="142"/>
      <c r="B6" s="144" t="str">
        <f>"Residential - $" &amp; K6 &amp; " ($" &amp; L6 &amp;" with surcharge &amp; technology fee included)"</f>
        <v>Residential - $277.75 ($294.42 with surcharge &amp; technology fee included)</v>
      </c>
      <c r="F6" s="179">
        <v>265.79000000000002</v>
      </c>
      <c r="G6" s="5"/>
      <c r="H6" s="5"/>
      <c r="I6" s="5"/>
      <c r="J6" s="5"/>
      <c r="K6" s="5">
        <f>ROUND(F6*A1,2)</f>
        <v>277.75</v>
      </c>
      <c r="L6" s="5">
        <f>K6+ROUND(K6*0.01,2)+ROUND(K6*0.05,2)</f>
        <v>294.41999999999996</v>
      </c>
      <c r="N6" s="184" t="s">
        <v>191</v>
      </c>
    </row>
    <row r="7" spans="1:14">
      <c r="A7" s="145"/>
      <c r="B7" s="146" t="str">
        <f>"Commercial - $" &amp; K7 &amp;" ($" &amp; L7 &amp; " with surcharge &amp; technology fee included)"</f>
        <v>Commercial - $277.75 ($299.97 with surcharge &amp; technology fee included)</v>
      </c>
      <c r="F7" s="179">
        <v>265.79000000000002</v>
      </c>
      <c r="G7" s="5"/>
      <c r="H7" s="5"/>
      <c r="I7" s="5"/>
      <c r="J7" s="5"/>
      <c r="K7" s="5">
        <f>ROUND(F7*A1,2)</f>
        <v>277.75</v>
      </c>
      <c r="L7" s="5">
        <f>K7+ROUND(K7*0.03,2)+ROUND(K7*0.05,2)</f>
        <v>299.96999999999997</v>
      </c>
      <c r="N7" s="184" t="s">
        <v>192</v>
      </c>
    </row>
    <row r="8" spans="1:14">
      <c r="A8" s="140">
        <v>4</v>
      </c>
      <c r="B8" s="141" t="s">
        <v>182</v>
      </c>
      <c r="F8" s="5"/>
      <c r="G8" s="5"/>
      <c r="H8" s="5"/>
      <c r="I8" s="5"/>
      <c r="J8" s="5"/>
      <c r="K8" s="5"/>
      <c r="L8" s="5"/>
    </row>
    <row r="9" spans="1:14" ht="15" customHeight="1">
      <c r="A9" s="142"/>
      <c r="B9" s="144" t="str">
        <f>"Residential - $" &amp; K9 &amp;" ($" &amp; L9 &amp;" with surcharge &amp; technology fee included)"</f>
        <v>Residential - $169.33 ($179.49 with surcharge &amp; technology fee included)</v>
      </c>
      <c r="F9" s="179">
        <v>162.04</v>
      </c>
      <c r="G9" s="5"/>
      <c r="H9" s="5"/>
      <c r="I9" s="5"/>
      <c r="J9" s="5"/>
      <c r="K9" s="5">
        <f>ROUND(F9*A1,2)</f>
        <v>169.33</v>
      </c>
      <c r="L9" s="5">
        <f>K9+ROUND(K9*0.01,2)+ROUND(K9*0.05,2)</f>
        <v>179.49</v>
      </c>
    </row>
    <row r="10" spans="1:14">
      <c r="A10" s="145"/>
      <c r="B10" s="146" t="str">
        <f>"Commercial - $" &amp;K10 &amp;" ($" &amp;L10 &amp;" with surcharge &amp; technology fee included)"</f>
        <v>Commercial - $169.33 ($182.88 with surcharge &amp; technology fee included)</v>
      </c>
      <c r="F10" s="179">
        <v>162.04</v>
      </c>
      <c r="G10" s="5"/>
      <c r="H10" s="5"/>
      <c r="I10" s="5"/>
      <c r="J10" s="5"/>
      <c r="K10" s="5">
        <f>ROUND(F10*A1,2)</f>
        <v>169.33</v>
      </c>
      <c r="L10" s="5">
        <f>K10+ROUND(K10*0.03,2)+ROUND(K10*0.05,2)</f>
        <v>182.88000000000002</v>
      </c>
    </row>
    <row r="11" spans="1:14">
      <c r="A11" s="140">
        <v>5</v>
      </c>
      <c r="B11" s="141" t="s">
        <v>183</v>
      </c>
      <c r="F11" s="5"/>
      <c r="G11" s="5"/>
      <c r="H11" s="5"/>
      <c r="I11" s="5"/>
      <c r="J11" s="5"/>
      <c r="K11" s="5"/>
      <c r="L11" s="5"/>
    </row>
    <row r="12" spans="1:14" ht="27">
      <c r="A12" s="142"/>
      <c r="B12" s="144" t="s">
        <v>184</v>
      </c>
      <c r="F12" s="5"/>
      <c r="G12" s="5"/>
      <c r="H12" s="5"/>
      <c r="I12" s="5"/>
      <c r="J12" s="5"/>
      <c r="K12" s="5"/>
      <c r="L12" s="5"/>
    </row>
    <row r="13" spans="1:14">
      <c r="A13" s="142"/>
      <c r="B13" s="144" t="s">
        <v>185</v>
      </c>
      <c r="F13" s="5"/>
      <c r="G13" s="5"/>
      <c r="H13" s="5"/>
      <c r="I13" s="5"/>
      <c r="J13" s="5"/>
      <c r="K13" s="5"/>
      <c r="L13" s="5"/>
    </row>
    <row r="14" spans="1:14">
      <c r="A14" s="145"/>
      <c r="B14" s="146" t="s">
        <v>186</v>
      </c>
      <c r="F14" s="5"/>
      <c r="G14" s="5"/>
      <c r="H14" s="5"/>
      <c r="I14" s="5"/>
      <c r="J14" s="5"/>
      <c r="K14" s="5"/>
      <c r="L14" s="5"/>
    </row>
  </sheetData>
  <pageMargins left="0.25" right="0.25" top="0.75" bottom="0.75" header="0.3" footer="0.3"/>
  <pageSetup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UPPER</vt:lpstr>
      <vt:lpstr>ALL</vt:lpstr>
      <vt:lpstr>CONSTRUCTION FACTOR</vt:lpstr>
      <vt:lpstr>ADMIN_FEES</vt:lpstr>
      <vt:lpstr>PENALTY</vt:lpstr>
      <vt:lpstr>ChangePct</vt:lpstr>
      <vt:lpstr>ADMIN_FEES!Print_Area</vt:lpstr>
      <vt:lpstr>ALL!Print_Area</vt:lpstr>
      <vt:lpstr>'CONSTRUCTION FACTOR'!Print_Area</vt:lpstr>
      <vt:lpstr>PENALTY!Print_Area</vt:lpstr>
      <vt:lpstr>UPPER!Print_Area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Mangold, Robert</dc:creator>
  <cp:keywords/>
  <dc:description/>
  <cp:lastModifiedBy>Becky Fairley</cp:lastModifiedBy>
  <cp:revision/>
  <cp:lastPrinted>2021-11-18T16:23:44Z</cp:lastPrinted>
  <dcterms:created xsi:type="dcterms:W3CDTF">2021-01-04T13:34:12Z</dcterms:created>
  <dcterms:modified xsi:type="dcterms:W3CDTF">2023-12-12T14:04:23Z</dcterms:modified>
  <cp:category/>
  <cp:contentStatus/>
</cp:coreProperties>
</file>